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1.4 Genomförandeplan URKRAFT - Partnering\1.4.1c  Ex - Självkostnad tid - beräkningsprinciper &amp; mall\"/>
    </mc:Choice>
  </mc:AlternateContent>
  <xr:revisionPtr revIDLastSave="0" documentId="13_ncr:1_{B106F8B7-970E-4A11-A1AD-CB0D76826551}" xr6:coauthVersionLast="47" xr6:coauthVersionMax="47" xr10:uidLastSave="{00000000-0000-0000-0000-000000000000}"/>
  <bookViews>
    <workbookView xWindow="-108" yWindow="-108" windowWidth="23256" windowHeight="12456" xr2:uid="{070F46C2-49E5-4E1D-ADC5-4F1A6CD81EAD}"/>
  </bookViews>
  <sheets>
    <sheet name="Beräkning TjP och Yarb" sheetId="1" r:id="rId1"/>
    <sheet name="Blad2" sheetId="5" r:id="rId2"/>
    <sheet name="Blad3" sheetId="6" r:id="rId3"/>
    <sheet name="Blad1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J46" i="1"/>
  <c r="F36" i="1"/>
  <c r="F53" i="1"/>
  <c r="F55" i="1" s="1"/>
  <c r="F38" i="1"/>
  <c r="J14" i="1"/>
  <c r="F22" i="1"/>
  <c r="F21" i="1"/>
  <c r="F17" i="1"/>
  <c r="F16" i="1"/>
  <c r="F14" i="1"/>
  <c r="F15" i="1"/>
  <c r="F13" i="1"/>
  <c r="C13" i="1" s="1"/>
  <c r="C14" i="1" s="1"/>
  <c r="F37" i="1"/>
  <c r="D17" i="1"/>
  <c r="C35" i="1"/>
  <c r="D35" i="1" s="1"/>
  <c r="E54" i="1"/>
  <c r="J35" i="1"/>
  <c r="J37" i="1"/>
  <c r="J38" i="1"/>
  <c r="I39" i="1"/>
  <c r="I41" i="1" s="1"/>
  <c r="K35" i="1" l="1"/>
  <c r="K36" i="1" s="1"/>
  <c r="I47" i="1" s="1"/>
  <c r="J47" i="1" s="1"/>
  <c r="D38" i="1"/>
  <c r="F39" i="1"/>
  <c r="C54" i="1"/>
  <c r="D54" i="1" s="1"/>
  <c r="I42" i="1"/>
  <c r="I43" i="1" s="1"/>
  <c r="J41" i="1"/>
  <c r="I40" i="1"/>
  <c r="J40" i="1" s="1"/>
  <c r="E37" i="1" l="1"/>
  <c r="C37" i="1" s="1"/>
  <c r="M27" i="1"/>
  <c r="C22" i="1" s="1"/>
  <c r="O14" i="1"/>
  <c r="P14" i="1" s="1"/>
  <c r="M20" i="1"/>
  <c r="P20" i="1" s="1"/>
  <c r="M16" i="1"/>
  <c r="D37" i="1" l="1"/>
  <c r="C40" i="1"/>
  <c r="C48" i="1"/>
  <c r="C47" i="1"/>
  <c r="C51" i="1"/>
  <c r="C38" i="1"/>
  <c r="E38" i="1" s="1"/>
  <c r="C46" i="1"/>
  <c r="C49" i="1"/>
  <c r="C41" i="1"/>
  <c r="C52" i="1"/>
  <c r="C44" i="1"/>
  <c r="C42" i="1"/>
  <c r="C45" i="1"/>
  <c r="C43" i="1"/>
  <c r="C50" i="1"/>
  <c r="I17" i="1"/>
  <c r="I18" i="1"/>
  <c r="E40" i="1" l="1"/>
  <c r="C53" i="1"/>
  <c r="C55" i="1" s="1"/>
  <c r="I19" i="1"/>
  <c r="I20" i="1" s="1"/>
  <c r="I21" i="1" s="1"/>
  <c r="C39" i="1"/>
  <c r="E39" i="1" s="1"/>
  <c r="D40" i="1"/>
  <c r="J15" i="1" l="1"/>
  <c r="J12" i="1"/>
  <c r="C23" i="1" l="1"/>
  <c r="F23" i="1" s="1"/>
  <c r="D23" i="1" l="1"/>
  <c r="N9" i="1" l="1"/>
  <c r="M9" i="1" s="1"/>
  <c r="J16" i="1" l="1"/>
  <c r="M24" i="1" l="1"/>
  <c r="M25" i="1" s="1"/>
  <c r="C20" i="1" s="1"/>
  <c r="F20" i="1" s="1"/>
  <c r="D12" i="1" l="1"/>
  <c r="N11" i="1" l="1"/>
  <c r="M11" i="1" s="1"/>
  <c r="M23" i="1"/>
  <c r="P23" i="1" s="1"/>
  <c r="M22" i="1"/>
  <c r="P22" i="1" s="1"/>
  <c r="M21" i="1"/>
  <c r="P21" i="1" s="1"/>
  <c r="M19" i="1"/>
  <c r="M18" i="1"/>
  <c r="P18" i="1" s="1"/>
  <c r="M17" i="1"/>
  <c r="P19" i="1" l="1"/>
  <c r="C16" i="1"/>
  <c r="C15" i="1"/>
  <c r="N12" i="1"/>
  <c r="M12" i="1" s="1"/>
  <c r="N10" i="1"/>
  <c r="M10" i="1" s="1"/>
  <c r="D13" i="1"/>
  <c r="D22" i="1" l="1"/>
  <c r="M26" i="1"/>
  <c r="D14" i="1"/>
  <c r="C19" i="1" l="1"/>
  <c r="F19" i="1" s="1"/>
  <c r="C21" i="1" l="1" a="1"/>
  <c r="I22" i="1"/>
  <c r="E17" i="1" s="1"/>
  <c r="E12" i="1" l="1"/>
  <c r="E13" i="1"/>
  <c r="E14" i="1"/>
  <c r="E16" i="1"/>
  <c r="E15" i="1"/>
  <c r="E23" i="1"/>
  <c r="E22" i="1"/>
  <c r="E20" i="1"/>
  <c r="E19" i="1"/>
  <c r="J20" i="1" l="1"/>
  <c r="J19" i="1"/>
  <c r="D15" i="1"/>
  <c r="D16" i="1"/>
  <c r="D19" i="1" l="1"/>
  <c r="D20" i="1" l="1"/>
  <c r="D39" i="1" l="1"/>
  <c r="E49" i="1"/>
  <c r="D45" i="1" l="1"/>
  <c r="E45" i="1"/>
  <c r="E44" i="1"/>
  <c r="D44" i="1"/>
  <c r="E52" i="1"/>
  <c r="D52" i="1"/>
  <c r="D41" i="1"/>
  <c r="E41" i="1"/>
  <c r="E51" i="1"/>
  <c r="D51" i="1"/>
  <c r="D46" i="1"/>
  <c r="E46" i="1"/>
  <c r="D50" i="1"/>
  <c r="E50" i="1"/>
  <c r="D42" i="1"/>
  <c r="E42" i="1"/>
  <c r="D43" i="1"/>
  <c r="E43" i="1"/>
  <c r="E47" i="1"/>
  <c r="D47" i="1"/>
  <c r="D48" i="1"/>
  <c r="E48" i="1"/>
  <c r="D53" i="1" l="1"/>
  <c r="D55" i="1" s="1"/>
  <c r="E53" i="1"/>
  <c r="E55" i="1"/>
  <c r="E56" i="1" s="1"/>
  <c r="F31" i="1" s="1"/>
  <c r="C56" i="1"/>
  <c r="C24" i="1" l="1"/>
  <c r="E21" i="1"/>
  <c r="E24" i="1" s="1"/>
  <c r="F9" i="1" s="1"/>
  <c r="D21" i="1"/>
  <c r="D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Frykenlind</author>
  </authors>
  <commentList>
    <comment ref="M4" authorId="0" shapeId="0" xr:uid="{D5B05536-6C20-4E0D-BFCD-07826802860A}">
      <text>
        <r>
          <rPr>
            <b/>
            <sz val="9"/>
            <color indexed="81"/>
            <rFont val="Tahoma"/>
            <family val="2"/>
          </rPr>
          <t>Justeras varje år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<sst xmlns="http://schemas.openxmlformats.org/spreadsheetml/2006/main" count="172" uniqueCount="118">
  <si>
    <t>Lön</t>
  </si>
  <si>
    <t>Semestertillägg</t>
  </si>
  <si>
    <t>Månadskostnad</t>
  </si>
  <si>
    <t>Dagar</t>
  </si>
  <si>
    <t>Collectum</t>
  </si>
  <si>
    <t>Övre gräns Collectum Ålderspensionspremie</t>
  </si>
  <si>
    <t>7,5 IBB undre gräns premiebefrielseförsäkring</t>
  </si>
  <si>
    <t>ITP Sjukpens undre gräns</t>
  </si>
  <si>
    <t>Lagstadgade procentbelopp</t>
  </si>
  <si>
    <t>Löneskatt</t>
  </si>
  <si>
    <t>Sociala avgifter</t>
  </si>
  <si>
    <t>Collectum ITP</t>
  </si>
  <si>
    <t>Månadsbelopp</t>
  </si>
  <si>
    <t>% från Collectum ITP1</t>
  </si>
  <si>
    <t>% från Collectum ITP2</t>
  </si>
  <si>
    <t>Summa år</t>
  </si>
  <si>
    <t>Individuell</t>
  </si>
  <si>
    <t>Deltidspensionspremie ITP1 + kompl premier</t>
  </si>
  <si>
    <t>Deltidspensionspremie ITP2 inkl pbf kompl premier</t>
  </si>
  <si>
    <t>ITPK ITP2</t>
  </si>
  <si>
    <t>Vardagar på ett år</t>
  </si>
  <si>
    <t>Totalt arbetande dagar</t>
  </si>
  <si>
    <t>ITP 1 lön 4,5 %</t>
  </si>
  <si>
    <t>ITP 1 lön 30 %</t>
  </si>
  <si>
    <t>Löneskatt pension</t>
  </si>
  <si>
    <t>Summa</t>
  </si>
  <si>
    <t>Årskostnad</t>
  </si>
  <si>
    <t>Kostnader</t>
  </si>
  <si>
    <t>Diff mot dagslön</t>
  </si>
  <si>
    <t>Semesterkostnad utöver lön</t>
  </si>
  <si>
    <t>Timkostnad</t>
  </si>
  <si>
    <t>Timlön</t>
  </si>
  <si>
    <t>Årslön</t>
  </si>
  <si>
    <t>Tot</t>
  </si>
  <si>
    <t>Omställningsförsäkring</t>
  </si>
  <si>
    <t>AGB avgångsbidrag</t>
  </si>
  <si>
    <t>Premiebeft SAF-LO</t>
  </si>
  <si>
    <t>Xtra pensionsavs. Byggavtalet</t>
  </si>
  <si>
    <t>Särskilt tillägg bygg</t>
  </si>
  <si>
    <t>Sv näringsliv</t>
  </si>
  <si>
    <t>FORA &amp; Svenskt näringsliv</t>
  </si>
  <si>
    <t xml:space="preserve">% </t>
  </si>
  <si>
    <t>Datum</t>
  </si>
  <si>
    <t>Projekt</t>
  </si>
  <si>
    <t>Beställare</t>
  </si>
  <si>
    <t>Premie till ITPK</t>
  </si>
  <si>
    <t>Deltidspensionspremie per avtal</t>
  </si>
  <si>
    <t>Arbetstidsförkortning</t>
  </si>
  <si>
    <t>Ja</t>
  </si>
  <si>
    <t>Nej</t>
  </si>
  <si>
    <t>ITP grundande lön</t>
  </si>
  <si>
    <t>ITP Sjukpension övre gräns</t>
  </si>
  <si>
    <t>Helgdagar</t>
  </si>
  <si>
    <t>Sjuklön</t>
  </si>
  <si>
    <t>Föräldralön och sjuklön över 14 dagar</t>
  </si>
  <si>
    <t>Timmar i snitt per månad</t>
  </si>
  <si>
    <t>Arbetande dagar i snitt per månad</t>
  </si>
  <si>
    <t>ITP Ålderspension upp till 7,5 inkomstbasbelopp fördelat per månad</t>
  </si>
  <si>
    <t>ITP Ålderspension över 7,5 inkomstbasbelopp fördelat per månad</t>
  </si>
  <si>
    <t>ITP Sjukpension upp till 7,5 inkomstbasbelopp fördelat per månad</t>
  </si>
  <si>
    <t>ITP Sjukpension över 7,5 inkomstbasbelopp fördelat per månad</t>
  </si>
  <si>
    <t>ITP Premiebefrielseföräkring upp till 7,5 inkomstbasbelopp fördelat per månad</t>
  </si>
  <si>
    <t>ITP Premiebefrielseföräkring över 7,5 inkomstbasbelopp fördelat per månad</t>
  </si>
  <si>
    <t>ITP utjämningspremie upp till 7,5 inkomstbasbelopp fördelat per månad</t>
  </si>
  <si>
    <t>ITP utjämningspremie över 7,5 inkomstbasbelopp fördelat per månad</t>
  </si>
  <si>
    <t>Fora Trygghetsrådet (TRR) + Arbetsskadeförsäkring (TFA)</t>
  </si>
  <si>
    <t>Trygghetsrådet (TRR) Fora</t>
  </si>
  <si>
    <t>Tjänstegrupplivförsäkring (TGL)</t>
  </si>
  <si>
    <t>År</t>
  </si>
  <si>
    <t>Individuell ITP 2 (Ifylls om denna är aktuell för anställd)</t>
  </si>
  <si>
    <t>Summering frånvarodagar</t>
  </si>
  <si>
    <t>Kostnader enligt lag och kollektivavtal för anställd:</t>
  </si>
  <si>
    <t>Org nr</t>
  </si>
  <si>
    <t xml:space="preserve">Företag </t>
  </si>
  <si>
    <t>Beräkningsförutsättningar (lag, kollektivavtal och branschvärden)</t>
  </si>
  <si>
    <t>Yrkesarbetare</t>
  </si>
  <si>
    <t>%</t>
  </si>
  <si>
    <t>Tjänstepersoner</t>
  </si>
  <si>
    <t>AGS Avtalsgruppförsäkring</t>
  </si>
  <si>
    <t>FPT Föräldrapenningtillägg</t>
  </si>
  <si>
    <t>TGL Tjänstegrupplivförsäkring</t>
  </si>
  <si>
    <t>TFATrygghetsförsäkring vid skada</t>
  </si>
  <si>
    <t>Tjänstepension SAF-LO&lt;7,5 ibb</t>
  </si>
  <si>
    <t>Tjänstepension SAF LO &gt;7,5 ibb</t>
  </si>
  <si>
    <t>TGL fortsättningsförsäkring</t>
  </si>
  <si>
    <t>Premiebef extra pensionsavsättn</t>
  </si>
  <si>
    <t>Roll i projektet</t>
  </si>
  <si>
    <t>Anställd - för och efternamn</t>
  </si>
  <si>
    <t>Ingår i självkostnadsberäkning</t>
  </si>
  <si>
    <t>Kommunen</t>
  </si>
  <si>
    <t>xxxxxx-xxxx</t>
  </si>
  <si>
    <t>Projektchef</t>
  </si>
  <si>
    <t>Anders Andersson</t>
  </si>
  <si>
    <t>Turkosa fält justeras årligen den 1 april av beställaren</t>
  </si>
  <si>
    <t>Semesterdagar för anställd (25-30 dgr)</t>
  </si>
  <si>
    <t>Självkostnad arbetad timme Ya</t>
  </si>
  <si>
    <t>Semester (lag &amp; kollektivavtal 25-30 dgr)</t>
  </si>
  <si>
    <t xml:space="preserve">Beräkningsmall för självkostnad tid. </t>
  </si>
  <si>
    <r>
      <t xml:space="preserve">Förklaring till denna mall finns i </t>
    </r>
    <r>
      <rPr>
        <b/>
        <sz val="11"/>
        <color theme="1"/>
        <rFont val="Aptos Narrow"/>
        <family val="2"/>
        <scheme val="minor"/>
      </rPr>
      <t>Bilaga 1.1</t>
    </r>
    <r>
      <rPr>
        <sz val="11"/>
        <color theme="1"/>
        <rFont val="Aptos Narrow"/>
        <family val="2"/>
        <scheme val="minor"/>
      </rPr>
      <t xml:space="preserve"> Beräkningsprinciper för självkostnad tid</t>
    </r>
  </si>
  <si>
    <t>Ingår i självkostnads- beräknng</t>
  </si>
  <si>
    <t>Inkomstbasbelopp (IBB)</t>
  </si>
  <si>
    <t>Prisbasbelopp (PBB)</t>
  </si>
  <si>
    <t>Självkostnad arbetad timme Tj person</t>
  </si>
  <si>
    <t>Lön (inkl ev ackordsuppgörelse)</t>
  </si>
  <si>
    <t>En semesterdags lön enl kollektivavtal</t>
  </si>
  <si>
    <t>Belopp för ackordsuppgörelse (snitt) ingående i summan E35</t>
  </si>
  <si>
    <r>
      <t xml:space="preserve">% </t>
    </r>
    <r>
      <rPr>
        <sz val="11"/>
        <color theme="1"/>
        <rFont val="Aptos Narrow"/>
        <family val="2"/>
        <scheme val="minor"/>
      </rPr>
      <t>(Ej Påslag)</t>
    </r>
  </si>
  <si>
    <r>
      <t xml:space="preserve">% </t>
    </r>
    <r>
      <rPr>
        <sz val="11"/>
        <color theme="1"/>
        <rFont val="Aptos Narrow"/>
        <family val="2"/>
        <scheme val="minor"/>
      </rPr>
      <t>(Ej påslag)</t>
    </r>
  </si>
  <si>
    <t>Alla celler i dokumentet är låsta, förutom</t>
  </si>
  <si>
    <t>gula fält som ska fyllas i av företaget</t>
  </si>
  <si>
    <t>Dagslön (timlön enligt E35 * 8)</t>
  </si>
  <si>
    <t>Ny entreprenad</t>
  </si>
  <si>
    <t>Byggaren AB</t>
  </si>
  <si>
    <t>Timprislista självkostnad tid</t>
  </si>
  <si>
    <t>Namn</t>
  </si>
  <si>
    <t>Roll</t>
  </si>
  <si>
    <t>Timpris enligt mallen</t>
  </si>
  <si>
    <t>Lön enl A12 alt A35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</si>
</sst>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_-* #,##0\ &quot;kr&quot;_-;\-* #,##0\ &quot;kr&quot;_-;_-* &quot;-&quot;??\ &quot;kr&quot;_-;_-@_-"/>
    <numFmt numFmtId="165" formatCode="#,##0\ &quot;kr&quot;"/>
    <numFmt numFmtId="166" formatCode="0.000%"/>
    <numFmt numFmtId="167" formatCode="#,##0.00\ &quot;kr&quot;"/>
    <numFmt numFmtId="168" formatCode="_-* #,##0\ &quot;kr&quot;_-;\-* #,##0\ &quot;kr&quot;_-;_-* &quot;-&quot;???\ &quot;kr&quot;_-;_-@_-"/>
    <numFmt numFmtId="169" formatCode="_-* #,##0.0_-;\-* #,##0.0_-;_-* &quot;-&quot;??_-;_-@_-"/>
    <numFmt numFmtId="170" formatCode="_-* #,##0_-;\-* #,##0_-;_-* &quot;-&quot;??_-;_-@_-"/>
    <numFmt numFmtId="171" formatCode="0.0%"/>
    <numFmt numFmtId="172" formatCode="_-* #,##0.0\ &quot;kr&quot;_-;\-* #,##0.0\ &quot;kr&quot;_-;_-* &quot;-&quot;??\ &quot;kr&quot;_-;_-@_-"/>
    <numFmt numFmtId="173" formatCode="_-* #,##0.0\ &quot;kr&quot;_-;\-* #,##0.0\ &quot;kr&quot;_-;_-* &quot;-&quot;?\ &quot;kr&quot;_-;_-@_-"/>
    <numFmt numFmtId="174" formatCode="0.0"/>
    <numFmt numFmtId="175" formatCode="_-* #,##0.00\ &quot;kr&quot;_-;\-* #,##0.00\ &quot;kr&quot;_-;_-* &quot;-&quot;?\ &quot;kr&quot;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b/>
      <sz val="1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"/>
      <family val="2"/>
    </font>
    <font>
      <i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4">
    <xf numFmtId="0" fontId="0" fillId="0" borderId="0" xfId="0"/>
    <xf numFmtId="9" fontId="0" fillId="0" borderId="5" xfId="3" applyFont="1" applyBorder="1" applyAlignment="1" applyProtection="1">
      <alignment horizontal="left"/>
    </xf>
    <xf numFmtId="10" fontId="0" fillId="0" borderId="5" xfId="3" applyNumberFormat="1" applyFont="1" applyFill="1" applyBorder="1" applyAlignment="1" applyProtection="1">
      <alignment horizontal="left"/>
    </xf>
    <xf numFmtId="10" fontId="0" fillId="0" borderId="5" xfId="3" applyNumberFormat="1" applyFont="1" applyBorder="1" applyAlignment="1" applyProtection="1">
      <alignment horizontal="left"/>
    </xf>
    <xf numFmtId="166" fontId="0" fillId="0" borderId="5" xfId="3" applyNumberFormat="1" applyFont="1" applyBorder="1" applyAlignment="1" applyProtection="1">
      <alignment horizontal="left"/>
    </xf>
    <xf numFmtId="9" fontId="0" fillId="0" borderId="7" xfId="3" applyFont="1" applyBorder="1" applyAlignment="1" applyProtection="1">
      <alignment horizontal="left" vertical="top"/>
    </xf>
    <xf numFmtId="9" fontId="0" fillId="0" borderId="10" xfId="3" applyFont="1" applyBorder="1" applyProtection="1"/>
    <xf numFmtId="9" fontId="0" fillId="0" borderId="5" xfId="3" applyFont="1" applyBorder="1" applyAlignment="1" applyProtection="1">
      <alignment horizontal="left" vertical="top"/>
    </xf>
    <xf numFmtId="172" fontId="0" fillId="0" borderId="4" xfId="2" applyNumberFormat="1" applyFont="1" applyBorder="1" applyProtection="1"/>
    <xf numFmtId="2" fontId="0" fillId="0" borderId="4" xfId="2" applyNumberFormat="1" applyFont="1" applyBorder="1" applyProtection="1"/>
    <xf numFmtId="174" fontId="0" fillId="0" borderId="4" xfId="2" applyNumberFormat="1" applyFont="1" applyBorder="1" applyProtection="1"/>
    <xf numFmtId="172" fontId="0" fillId="0" borderId="6" xfId="2" applyNumberFormat="1" applyFont="1" applyBorder="1" applyProtection="1"/>
    <xf numFmtId="164" fontId="0" fillId="0" borderId="12" xfId="2" applyNumberFormat="1" applyFont="1" applyBorder="1" applyProtection="1"/>
    <xf numFmtId="0" fontId="0" fillId="0" borderId="2" xfId="2" applyNumberFormat="1" applyFont="1" applyBorder="1" applyAlignment="1" applyProtection="1">
      <alignment horizontal="left"/>
    </xf>
    <xf numFmtId="164" fontId="0" fillId="0" borderId="11" xfId="2" applyNumberFormat="1" applyFont="1" applyBorder="1" applyAlignment="1" applyProtection="1">
      <alignment horizontal="left"/>
    </xf>
    <xf numFmtId="164" fontId="0" fillId="0" borderId="3" xfId="2" applyNumberFormat="1" applyFont="1" applyBorder="1" applyAlignment="1" applyProtection="1">
      <alignment horizontal="left"/>
    </xf>
    <xf numFmtId="164" fontId="0" fillId="0" borderId="12" xfId="2" applyNumberFormat="1" applyFont="1" applyBorder="1" applyAlignment="1" applyProtection="1">
      <alignment horizontal="left"/>
    </xf>
    <xf numFmtId="0" fontId="0" fillId="0" borderId="4" xfId="2" applyNumberFormat="1" applyFont="1" applyBorder="1" applyAlignment="1" applyProtection="1">
      <alignment horizontal="left"/>
    </xf>
    <xf numFmtId="164" fontId="0" fillId="0" borderId="5" xfId="2" applyNumberFormat="1" applyFont="1" applyBorder="1" applyAlignment="1" applyProtection="1">
      <alignment horizontal="left"/>
    </xf>
    <xf numFmtId="44" fontId="0" fillId="0" borderId="12" xfId="2" applyFont="1" applyBorder="1" applyProtection="1"/>
    <xf numFmtId="9" fontId="0" fillId="0" borderId="12" xfId="3" applyFont="1" applyBorder="1" applyProtection="1"/>
    <xf numFmtId="43" fontId="0" fillId="6" borderId="14" xfId="1" applyFont="1" applyFill="1" applyBorder="1" applyProtection="1"/>
    <xf numFmtId="171" fontId="0" fillId="0" borderId="11" xfId="3" applyNumberFormat="1" applyFont="1" applyBorder="1" applyProtection="1"/>
    <xf numFmtId="164" fontId="0" fillId="0" borderId="13" xfId="2" applyNumberFormat="1" applyFont="1" applyBorder="1" applyAlignment="1" applyProtection="1">
      <alignment horizontal="left"/>
    </xf>
    <xf numFmtId="164" fontId="0" fillId="0" borderId="7" xfId="2" applyNumberFormat="1" applyFont="1" applyBorder="1" applyAlignment="1" applyProtection="1"/>
    <xf numFmtId="164" fontId="0" fillId="0" borderId="4" xfId="2" applyNumberFormat="1" applyFont="1" applyBorder="1" applyProtection="1"/>
    <xf numFmtId="171" fontId="0" fillId="0" borderId="12" xfId="3" applyNumberFormat="1" applyFont="1" applyBorder="1" applyProtection="1"/>
    <xf numFmtId="10" fontId="0" fillId="0" borderId="12" xfId="3" applyNumberFormat="1" applyFont="1" applyBorder="1" applyAlignment="1" applyProtection="1"/>
    <xf numFmtId="10" fontId="0" fillId="0" borderId="12" xfId="3" applyNumberFormat="1" applyFont="1" applyBorder="1" applyProtection="1"/>
    <xf numFmtId="165" fontId="0" fillId="0" borderId="11" xfId="2" applyNumberFormat="1" applyFont="1" applyBorder="1" applyAlignment="1" applyProtection="1">
      <alignment horizontal="right"/>
    </xf>
    <xf numFmtId="10" fontId="0" fillId="0" borderId="3" xfId="3" applyNumberFormat="1" applyFont="1" applyBorder="1" applyAlignment="1" applyProtection="1">
      <alignment horizontal="left"/>
    </xf>
    <xf numFmtId="10" fontId="0" fillId="0" borderId="2" xfId="3" applyNumberFormat="1" applyFont="1" applyBorder="1" applyAlignment="1" applyProtection="1">
      <alignment horizontal="left"/>
    </xf>
    <xf numFmtId="44" fontId="0" fillId="0" borderId="11" xfId="2" applyFont="1" applyBorder="1" applyAlignment="1" applyProtection="1">
      <alignment horizontal="left"/>
    </xf>
    <xf numFmtId="169" fontId="0" fillId="0" borderId="0" xfId="1" applyNumberFormat="1" applyFont="1" applyBorder="1" applyProtection="1"/>
    <xf numFmtId="171" fontId="0" fillId="6" borderId="13" xfId="3" applyNumberFormat="1" applyFont="1" applyFill="1" applyBorder="1" applyProtection="1"/>
    <xf numFmtId="165" fontId="0" fillId="0" borderId="12" xfId="2" applyNumberFormat="1" applyFont="1" applyBorder="1" applyAlignment="1" applyProtection="1">
      <alignment horizontal="right"/>
    </xf>
    <xf numFmtId="10" fontId="0" fillId="0" borderId="4" xfId="3" applyNumberFormat="1" applyFont="1" applyBorder="1" applyAlignment="1" applyProtection="1">
      <alignment horizontal="left"/>
    </xf>
    <xf numFmtId="44" fontId="0" fillId="0" borderId="12" xfId="2" applyFont="1" applyBorder="1" applyAlignment="1" applyProtection="1">
      <alignment horizontal="left"/>
    </xf>
    <xf numFmtId="166" fontId="0" fillId="0" borderId="4" xfId="3" applyNumberFormat="1" applyFont="1" applyBorder="1" applyAlignment="1" applyProtection="1">
      <alignment horizontal="left"/>
    </xf>
    <xf numFmtId="171" fontId="0" fillId="0" borderId="3" xfId="3" applyNumberFormat="1" applyFont="1" applyBorder="1" applyProtection="1"/>
    <xf numFmtId="171" fontId="0" fillId="0" borderId="7" xfId="3" applyNumberFormat="1" applyFont="1" applyBorder="1" applyProtection="1"/>
    <xf numFmtId="166" fontId="0" fillId="0" borderId="5" xfId="3" applyNumberFormat="1" applyFont="1" applyFill="1" applyBorder="1" applyAlignment="1" applyProtection="1">
      <alignment horizontal="left"/>
    </xf>
    <xf numFmtId="166" fontId="0" fillId="0" borderId="4" xfId="3" applyNumberFormat="1" applyFont="1" applyFill="1" applyBorder="1" applyAlignment="1" applyProtection="1">
      <alignment horizontal="left"/>
    </xf>
    <xf numFmtId="164" fontId="0" fillId="0" borderId="13" xfId="2" applyNumberFormat="1" applyFont="1" applyBorder="1" applyProtection="1"/>
    <xf numFmtId="44" fontId="0" fillId="0" borderId="13" xfId="2" applyFont="1" applyBorder="1" applyProtection="1"/>
    <xf numFmtId="44" fontId="0" fillId="0" borderId="13" xfId="2" applyFont="1" applyBorder="1" applyAlignment="1" applyProtection="1">
      <alignment horizontal="left"/>
    </xf>
    <xf numFmtId="164" fontId="2" fillId="0" borderId="9" xfId="2" applyNumberFormat="1" applyFont="1" applyBorder="1" applyProtection="1"/>
    <xf numFmtId="10" fontId="0" fillId="0" borderId="0" xfId="3" applyNumberFormat="1" applyFont="1" applyFill="1" applyBorder="1" applyProtection="1"/>
    <xf numFmtId="171" fontId="0" fillId="0" borderId="3" xfId="3" applyNumberFormat="1" applyFont="1" applyBorder="1" applyAlignment="1" applyProtection="1">
      <alignment horizontal="left"/>
    </xf>
    <xf numFmtId="167" fontId="0" fillId="0" borderId="12" xfId="2" applyNumberFormat="1" applyFont="1" applyBorder="1" applyAlignment="1" applyProtection="1">
      <alignment horizontal="right"/>
    </xf>
    <xf numFmtId="171" fontId="0" fillId="0" borderId="5" xfId="3" applyNumberFormat="1" applyFont="1" applyBorder="1" applyAlignment="1" applyProtection="1">
      <alignment horizontal="left"/>
    </xf>
    <xf numFmtId="171" fontId="0" fillId="0" borderId="5" xfId="3" applyNumberFormat="1" applyFont="1" applyFill="1" applyBorder="1" applyAlignment="1" applyProtection="1">
      <alignment horizontal="left"/>
    </xf>
    <xf numFmtId="164" fontId="0" fillId="0" borderId="12" xfId="2" applyNumberFormat="1" applyFont="1" applyBorder="1" applyAlignment="1" applyProtection="1"/>
    <xf numFmtId="10" fontId="0" fillId="0" borderId="11" xfId="3" applyNumberFormat="1" applyFont="1" applyBorder="1" applyAlignment="1" applyProtection="1"/>
    <xf numFmtId="10" fontId="0" fillId="0" borderId="9" xfId="3" applyNumberFormat="1" applyFont="1" applyFill="1" applyBorder="1" applyAlignment="1" applyProtection="1">
      <alignment horizontal="left"/>
    </xf>
    <xf numFmtId="10" fontId="0" fillId="0" borderId="13" xfId="3" applyNumberFormat="1" applyFont="1" applyBorder="1" applyAlignment="1" applyProtection="1"/>
    <xf numFmtId="44" fontId="0" fillId="0" borderId="1" xfId="2" applyFont="1" applyBorder="1" applyProtection="1"/>
    <xf numFmtId="44" fontId="0" fillId="0" borderId="9" xfId="2" applyFont="1" applyBorder="1" applyProtection="1"/>
    <xf numFmtId="44" fontId="0" fillId="0" borderId="10" xfId="2" applyFont="1" applyBorder="1" applyProtection="1"/>
    <xf numFmtId="170" fontId="0" fillId="6" borderId="1" xfId="1" applyNumberFormat="1" applyFont="1" applyFill="1" applyBorder="1" applyProtection="1"/>
    <xf numFmtId="169" fontId="0" fillId="0" borderId="12" xfId="1" applyNumberFormat="1" applyFont="1" applyBorder="1" applyProtection="1"/>
    <xf numFmtId="171" fontId="0" fillId="6" borderId="1" xfId="3" applyNumberFormat="1" applyFont="1" applyFill="1" applyBorder="1" applyProtection="1"/>
    <xf numFmtId="9" fontId="0" fillId="0" borderId="11" xfId="3" applyFont="1" applyBorder="1" applyProtection="1"/>
    <xf numFmtId="172" fontId="0" fillId="0" borderId="11" xfId="2" applyNumberFormat="1" applyFont="1" applyBorder="1" applyProtection="1"/>
    <xf numFmtId="10" fontId="0" fillId="0" borderId="13" xfId="3" applyNumberFormat="1" applyFont="1" applyBorder="1" applyProtection="1"/>
    <xf numFmtId="172" fontId="0" fillId="0" borderId="13" xfId="2" applyNumberFormat="1" applyFont="1" applyBorder="1" applyProtection="1"/>
    <xf numFmtId="164" fontId="0" fillId="6" borderId="11" xfId="2" applyNumberFormat="1" applyFont="1" applyFill="1" applyBorder="1" applyAlignment="1" applyProtection="1">
      <alignment horizontal="left"/>
    </xf>
    <xf numFmtId="164" fontId="0" fillId="6" borderId="13" xfId="2" applyNumberFormat="1" applyFont="1" applyFill="1" applyBorder="1" applyAlignment="1" applyProtection="1">
      <alignment horizontal="left" vertical="top"/>
    </xf>
    <xf numFmtId="44" fontId="2" fillId="8" borderId="1" xfId="2" applyFont="1" applyFill="1" applyBorder="1" applyProtection="1"/>
    <xf numFmtId="171" fontId="0" fillId="0" borderId="5" xfId="3" applyNumberFormat="1" applyFont="1" applyBorder="1" applyProtection="1"/>
    <xf numFmtId="170" fontId="0" fillId="6" borderId="16" xfId="1" applyNumberFormat="1" applyFont="1" applyFill="1" applyBorder="1" applyProtection="1"/>
    <xf numFmtId="170" fontId="0" fillId="6" borderId="17" xfId="1" applyNumberFormat="1" applyFont="1" applyFill="1" applyBorder="1" applyProtection="1"/>
    <xf numFmtId="171" fontId="11" fillId="0" borderId="5" xfId="3" applyNumberFormat="1" applyFont="1" applyBorder="1" applyAlignment="1" applyProtection="1">
      <alignment horizontal="left" vertical="top"/>
    </xf>
    <xf numFmtId="44" fontId="9" fillId="8" borderId="2" xfId="2" applyFont="1" applyFill="1" applyBorder="1" applyAlignment="1" applyProtection="1">
      <alignment horizontal="center" vertical="center" wrapText="1"/>
    </xf>
    <xf numFmtId="44" fontId="9" fillId="8" borderId="6" xfId="2" applyFont="1" applyFill="1" applyBorder="1" applyAlignment="1" applyProtection="1">
      <alignment horizontal="center" vertical="center" wrapText="1"/>
    </xf>
    <xf numFmtId="9" fontId="0" fillId="0" borderId="12" xfId="3" applyFont="1" applyBorder="1" applyAlignment="1" applyProtection="1">
      <alignment horizontal="right" vertical="center"/>
    </xf>
    <xf numFmtId="164" fontId="2" fillId="5" borderId="11" xfId="2" applyNumberFormat="1" applyFont="1" applyFill="1" applyBorder="1" applyAlignment="1" applyProtection="1">
      <alignment horizontal="left" vertical="center" wrapText="1"/>
    </xf>
    <xf numFmtId="164" fontId="2" fillId="5" borderId="13" xfId="2" applyNumberFormat="1" applyFont="1" applyFill="1" applyBorder="1" applyAlignment="1" applyProtection="1">
      <alignment horizontal="left" vertical="center" wrapText="1"/>
    </xf>
    <xf numFmtId="164" fontId="0" fillId="0" borderId="12" xfId="2" applyNumberFormat="1" applyFont="1" applyBorder="1" applyAlignment="1" applyProtection="1">
      <alignment horizontal="right" vertical="center" wrapText="1"/>
    </xf>
    <xf numFmtId="44" fontId="2" fillId="8" borderId="3" xfId="2" applyFont="1" applyFill="1" applyBorder="1" applyAlignment="1" applyProtection="1">
      <alignment horizontal="center" vertical="center"/>
    </xf>
    <xf numFmtId="44" fontId="2" fillId="8" borderId="7" xfId="2" applyFont="1" applyFill="1" applyBorder="1" applyAlignment="1" applyProtection="1">
      <alignment horizontal="center" vertical="center"/>
    </xf>
    <xf numFmtId="44" fontId="0" fillId="0" borderId="12" xfId="2" applyFont="1" applyBorder="1" applyAlignment="1" applyProtection="1">
      <alignment horizontal="right" vertical="center" wrapText="1"/>
    </xf>
    <xf numFmtId="0" fontId="2" fillId="2" borderId="8" xfId="0" applyFont="1" applyFill="1" applyBorder="1" applyProtection="1">
      <protection locked="0"/>
    </xf>
    <xf numFmtId="0" fontId="0" fillId="0" borderId="10" xfId="0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0" fillId="0" borderId="3" xfId="0" applyBorder="1" applyProtection="1">
      <protection locked="0"/>
    </xf>
    <xf numFmtId="164" fontId="0" fillId="2" borderId="6" xfId="2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44" fontId="2" fillId="2" borderId="11" xfId="2" applyFont="1" applyFill="1" applyBorder="1" applyAlignment="1" applyProtection="1">
      <alignment horizontal="right" vertical="center" wrapText="1"/>
      <protection locked="0"/>
    </xf>
    <xf numFmtId="44" fontId="2" fillId="2" borderId="13" xfId="2" applyFont="1" applyFill="1" applyBorder="1" applyAlignment="1" applyProtection="1">
      <alignment horizontal="right" vertical="center" wrapText="1"/>
      <protection locked="0"/>
    </xf>
    <xf numFmtId="44" fontId="0" fillId="2" borderId="7" xfId="2" applyFont="1" applyFill="1" applyBorder="1" applyProtection="1">
      <protection locked="0"/>
    </xf>
    <xf numFmtId="44" fontId="11" fillId="2" borderId="10" xfId="2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 applyProtection="1"/>
    <xf numFmtId="0" fontId="4" fillId="0" borderId="0" xfId="0" applyFont="1" applyProtection="1"/>
    <xf numFmtId="0" fontId="0" fillId="0" borderId="0" xfId="0" applyAlignment="1" applyProtection="1">
      <alignment vertical="center"/>
    </xf>
    <xf numFmtId="0" fontId="2" fillId="7" borderId="8" xfId="0" applyFont="1" applyFill="1" applyBorder="1" applyAlignment="1" applyProtection="1">
      <alignment horizontal="right"/>
    </xf>
    <xf numFmtId="14" fontId="0" fillId="7" borderId="1" xfId="0" applyNumberFormat="1" applyFill="1" applyBorder="1" applyAlignment="1" applyProtection="1">
      <alignment horizontal="left" vertical="top"/>
    </xf>
    <xf numFmtId="0" fontId="0" fillId="0" borderId="0" xfId="0" applyAlignment="1" applyProtection="1">
      <alignment horizontal="right"/>
    </xf>
    <xf numFmtId="0" fontId="2" fillId="0" borderId="0" xfId="0" applyFont="1" applyProtection="1"/>
    <xf numFmtId="0" fontId="0" fillId="7" borderId="1" xfId="0" applyFill="1" applyBorder="1" applyProtection="1"/>
    <xf numFmtId="0" fontId="2" fillId="6" borderId="1" xfId="0" applyFont="1" applyFill="1" applyBorder="1" applyProtection="1"/>
    <xf numFmtId="0" fontId="0" fillId="7" borderId="8" xfId="0" applyFill="1" applyBorder="1" applyProtection="1"/>
    <xf numFmtId="0" fontId="0" fillId="2" borderId="8" xfId="0" applyFill="1" applyBorder="1" applyProtection="1"/>
    <xf numFmtId="0" fontId="0" fillId="2" borderId="9" xfId="0" applyFill="1" applyBorder="1" applyAlignment="1" applyProtection="1">
      <alignment horizontal="right"/>
    </xf>
    <xf numFmtId="0" fontId="0" fillId="2" borderId="9" xfId="0" applyFill="1" applyBorder="1" applyProtection="1"/>
    <xf numFmtId="0" fontId="0" fillId="2" borderId="10" xfId="0" applyFill="1" applyBorder="1" applyProtection="1"/>
    <xf numFmtId="0" fontId="10" fillId="0" borderId="0" xfId="0" applyFont="1" applyAlignment="1" applyProtection="1">
      <alignment horizontal="right"/>
    </xf>
    <xf numFmtId="0" fontId="0" fillId="6" borderId="8" xfId="0" applyFill="1" applyBorder="1" applyAlignment="1" applyProtection="1">
      <alignment horizontal="center" vertical="center"/>
    </xf>
    <xf numFmtId="0" fontId="0" fillId="6" borderId="9" xfId="0" applyFill="1" applyBorder="1" applyAlignment="1" applyProtection="1">
      <alignment horizontal="center" vertical="center"/>
    </xf>
    <xf numFmtId="0" fontId="0" fillId="6" borderId="10" xfId="0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right"/>
    </xf>
    <xf numFmtId="0" fontId="2" fillId="4" borderId="1" xfId="0" applyFont="1" applyFill="1" applyBorder="1" applyProtection="1"/>
    <xf numFmtId="0" fontId="2" fillId="4" borderId="11" xfId="0" applyFont="1" applyFill="1" applyBorder="1" applyProtection="1"/>
    <xf numFmtId="0" fontId="7" fillId="4" borderId="2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4" fillId="4" borderId="14" xfId="0" applyFont="1" applyFill="1" applyBorder="1" applyAlignment="1" applyProtection="1">
      <alignment horizontal="center" vertical="center" wrapText="1"/>
    </xf>
    <xf numFmtId="0" fontId="4" fillId="4" borderId="11" xfId="0" applyFont="1" applyFill="1" applyBorder="1" applyAlignment="1" applyProtection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 wrapText="1"/>
    </xf>
    <xf numFmtId="0" fontId="4" fillId="4" borderId="6" xfId="0" applyFont="1" applyFill="1" applyBorder="1" applyAlignment="1" applyProtection="1">
      <alignment horizontal="center" vertical="center" wrapText="1"/>
    </xf>
    <xf numFmtId="0" fontId="4" fillId="4" borderId="15" xfId="0" applyFont="1" applyFill="1" applyBorder="1" applyAlignment="1" applyProtection="1">
      <alignment horizontal="center" vertical="center" wrapText="1"/>
    </xf>
    <xf numFmtId="0" fontId="4" fillId="4" borderId="13" xfId="0" applyFont="1" applyFill="1" applyBorder="1" applyAlignment="1" applyProtection="1">
      <alignment horizontal="center" vertical="center" wrapText="1"/>
    </xf>
    <xf numFmtId="0" fontId="0" fillId="0" borderId="4" xfId="0" applyBorder="1" applyProtection="1"/>
    <xf numFmtId="164" fontId="0" fillId="0" borderId="5" xfId="0" applyNumberFormat="1" applyBorder="1" applyProtection="1"/>
    <xf numFmtId="0" fontId="2" fillId="4" borderId="8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Alignment="1" applyProtection="1">
      <alignment horizontal="center" vertical="center" wrapText="1"/>
    </xf>
    <xf numFmtId="0" fontId="2" fillId="4" borderId="15" xfId="0" applyFont="1" applyFill="1" applyBorder="1" applyAlignment="1" applyProtection="1">
      <alignment horizontal="center" vertical="center"/>
    </xf>
    <xf numFmtId="2" fontId="2" fillId="4" borderId="7" xfId="0" applyNumberFormat="1" applyFont="1" applyFill="1" applyBorder="1" applyAlignment="1" applyProtection="1">
      <alignment horizontal="center" vertical="center"/>
    </xf>
    <xf numFmtId="0" fontId="2" fillId="4" borderId="11" xfId="0" applyFont="1" applyFill="1" applyBorder="1" applyAlignment="1" applyProtection="1">
      <alignment horizontal="center" vertical="center" wrapText="1"/>
    </xf>
    <xf numFmtId="0" fontId="2" fillId="4" borderId="11" xfId="0" applyFont="1" applyFill="1" applyBorder="1" applyAlignment="1" applyProtection="1">
      <alignment horizontal="center" vertical="center"/>
    </xf>
    <xf numFmtId="0" fontId="0" fillId="0" borderId="11" xfId="0" applyBorder="1" applyAlignment="1" applyProtection="1">
      <alignment horizontal="right"/>
    </xf>
    <xf numFmtId="0" fontId="0" fillId="0" borderId="12" xfId="0" applyBorder="1" applyProtection="1"/>
    <xf numFmtId="0" fontId="0" fillId="0" borderId="11" xfId="0" applyBorder="1" applyAlignment="1" applyProtection="1">
      <alignment horizontal="left"/>
    </xf>
    <xf numFmtId="0" fontId="0" fillId="0" borderId="6" xfId="0" applyBorder="1" applyProtection="1"/>
    <xf numFmtId="0" fontId="0" fillId="0" borderId="12" xfId="0" applyBorder="1" applyAlignment="1" applyProtection="1">
      <alignment horizontal="right"/>
    </xf>
    <xf numFmtId="0" fontId="0" fillId="0" borderId="12" xfId="0" applyBorder="1" applyAlignment="1" applyProtection="1">
      <alignment horizontal="left"/>
    </xf>
    <xf numFmtId="0" fontId="2" fillId="4" borderId="8" xfId="0" applyFont="1" applyFill="1" applyBorder="1" applyAlignment="1" applyProtection="1">
      <alignment horizontal="center"/>
    </xf>
    <xf numFmtId="0" fontId="2" fillId="4" borderId="10" xfId="0" applyFont="1" applyFill="1" applyBorder="1" applyAlignment="1" applyProtection="1">
      <alignment horizontal="center"/>
    </xf>
    <xf numFmtId="44" fontId="2" fillId="4" borderId="1" xfId="0" applyNumberFormat="1" applyFont="1" applyFill="1" applyBorder="1" applyProtection="1"/>
    <xf numFmtId="0" fontId="0" fillId="0" borderId="4" xfId="0" applyBorder="1" applyAlignment="1" applyProtection="1">
      <alignment horizontal="left"/>
    </xf>
    <xf numFmtId="0" fontId="2" fillId="4" borderId="8" xfId="0" applyFont="1" applyFill="1" applyBorder="1" applyProtection="1"/>
    <xf numFmtId="0" fontId="2" fillId="4" borderId="10" xfId="0" applyFont="1" applyFill="1" applyBorder="1" applyProtection="1"/>
    <xf numFmtId="168" fontId="0" fillId="0" borderId="4" xfId="0" applyNumberFormat="1" applyBorder="1" applyProtection="1"/>
    <xf numFmtId="0" fontId="0" fillId="0" borderId="0" xfId="0" applyAlignment="1" applyProtection="1">
      <alignment horizontal="right" vertical="center" wrapText="1"/>
    </xf>
    <xf numFmtId="0" fontId="0" fillId="0" borderId="13" xfId="0" applyBorder="1" applyAlignment="1" applyProtection="1">
      <alignment horizontal="left"/>
    </xf>
    <xf numFmtId="1" fontId="6" fillId="0" borderId="12" xfId="0" applyNumberFormat="1" applyFont="1" applyBorder="1" applyProtection="1"/>
    <xf numFmtId="170" fontId="0" fillId="0" borderId="3" xfId="0" applyNumberFormat="1" applyBorder="1" applyProtection="1"/>
    <xf numFmtId="170" fontId="0" fillId="0" borderId="5" xfId="0" applyNumberFormat="1" applyBorder="1" applyProtection="1"/>
    <xf numFmtId="0" fontId="0" fillId="0" borderId="13" xfId="0" applyBorder="1" applyProtection="1"/>
    <xf numFmtId="174" fontId="0" fillId="0" borderId="7" xfId="0" applyNumberFormat="1" applyBorder="1" applyProtection="1"/>
    <xf numFmtId="0" fontId="2" fillId="4" borderId="13" xfId="0" applyFont="1" applyFill="1" applyBorder="1" applyProtection="1"/>
    <xf numFmtId="1" fontId="2" fillId="4" borderId="1" xfId="0" applyNumberFormat="1" applyFont="1" applyFill="1" applyBorder="1" applyProtection="1"/>
    <xf numFmtId="0" fontId="0" fillId="0" borderId="13" xfId="0" applyBorder="1" applyAlignment="1" applyProtection="1">
      <alignment horizontal="right"/>
    </xf>
    <xf numFmtId="44" fontId="0" fillId="0" borderId="6" xfId="0" applyNumberFormat="1" applyBorder="1" applyProtection="1"/>
    <xf numFmtId="0" fontId="0" fillId="0" borderId="1" xfId="0" applyBorder="1" applyProtection="1"/>
    <xf numFmtId="0" fontId="2" fillId="0" borderId="6" xfId="0" applyFont="1" applyBorder="1" applyProtection="1"/>
    <xf numFmtId="173" fontId="0" fillId="0" borderId="0" xfId="0" applyNumberFormat="1" applyProtection="1"/>
    <xf numFmtId="0" fontId="0" fillId="0" borderId="2" xfId="0" applyBorder="1" applyAlignment="1" applyProtection="1">
      <alignment horizontal="left"/>
    </xf>
    <xf numFmtId="167" fontId="0" fillId="0" borderId="12" xfId="0" applyNumberFormat="1" applyBorder="1" applyAlignment="1" applyProtection="1">
      <alignment horizontal="right"/>
    </xf>
    <xf numFmtId="0" fontId="0" fillId="0" borderId="8" xfId="0" applyBorder="1" applyAlignment="1" applyProtection="1">
      <alignment horizontal="left"/>
    </xf>
    <xf numFmtId="168" fontId="0" fillId="0" borderId="1" xfId="0" applyNumberFormat="1" applyBorder="1" applyProtection="1"/>
    <xf numFmtId="0" fontId="0" fillId="0" borderId="10" xfId="0" applyBorder="1" applyProtection="1"/>
    <xf numFmtId="164" fontId="0" fillId="0" borderId="13" xfId="0" applyNumberFormat="1" applyBorder="1" applyProtection="1"/>
    <xf numFmtId="0" fontId="2" fillId="3" borderId="1" xfId="0" applyFont="1" applyFill="1" applyBorder="1" applyProtection="1"/>
    <xf numFmtId="0" fontId="8" fillId="3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0" fillId="3" borderId="14" xfId="0" applyFill="1" applyBorder="1" applyProtection="1"/>
    <xf numFmtId="0" fontId="4" fillId="3" borderId="11" xfId="0" applyFont="1" applyFill="1" applyBorder="1" applyAlignment="1" applyProtection="1">
      <alignment horizontal="center" vertical="center" wrapText="1"/>
    </xf>
    <xf numFmtId="0" fontId="8" fillId="3" borderId="6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0" fillId="3" borderId="15" xfId="0" applyFill="1" applyBorder="1" applyProtection="1"/>
    <xf numFmtId="0" fontId="4" fillId="3" borderId="13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horizontal="center" vertical="center"/>
    </xf>
    <xf numFmtId="164" fontId="0" fillId="0" borderId="0" xfId="0" applyNumberFormat="1" applyProtection="1"/>
    <xf numFmtId="43" fontId="0" fillId="0" borderId="11" xfId="0" applyNumberFormat="1" applyBorder="1" applyProtection="1"/>
    <xf numFmtId="0" fontId="11" fillId="0" borderId="4" xfId="0" applyFont="1" applyBorder="1" applyAlignment="1" applyProtection="1">
      <alignment horizontal="right"/>
    </xf>
    <xf numFmtId="0" fontId="11" fillId="0" borderId="8" xfId="0" applyFont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44" fontId="0" fillId="0" borderId="12" xfId="0" applyNumberFormat="1" applyBorder="1" applyProtection="1"/>
    <xf numFmtId="173" fontId="0" fillId="0" borderId="5" xfId="0" applyNumberFormat="1" applyBorder="1" applyProtection="1"/>
    <xf numFmtId="170" fontId="0" fillId="0" borderId="12" xfId="0" applyNumberFormat="1" applyBorder="1" applyProtection="1"/>
    <xf numFmtId="173" fontId="0" fillId="0" borderId="4" xfId="0" applyNumberFormat="1" applyBorder="1" applyProtection="1"/>
    <xf numFmtId="173" fontId="2" fillId="3" borderId="8" xfId="0" applyNumberFormat="1" applyFont="1" applyFill="1" applyBorder="1" applyProtection="1"/>
    <xf numFmtId="172" fontId="2" fillId="3" borderId="8" xfId="0" applyNumberFormat="1" applyFont="1" applyFill="1" applyBorder="1" applyProtection="1"/>
    <xf numFmtId="164" fontId="2" fillId="3" borderId="1" xfId="0" applyNumberFormat="1" applyFont="1" applyFill="1" applyBorder="1" applyProtection="1"/>
    <xf numFmtId="173" fontId="0" fillId="3" borderId="10" xfId="0" applyNumberFormat="1" applyFill="1" applyBorder="1" applyProtection="1"/>
    <xf numFmtId="9" fontId="2" fillId="3" borderId="10" xfId="0" applyNumberFormat="1" applyFont="1" applyFill="1" applyBorder="1" applyProtection="1"/>
    <xf numFmtId="9" fontId="0" fillId="0" borderId="13" xfId="0" applyNumberFormat="1" applyBorder="1" applyProtection="1"/>
    <xf numFmtId="164" fontId="0" fillId="0" borderId="12" xfId="0" applyNumberFormat="1" applyBorder="1" applyProtection="1"/>
    <xf numFmtId="0" fontId="0" fillId="0" borderId="11" xfId="0" applyBorder="1" applyProtection="1"/>
    <xf numFmtId="170" fontId="0" fillId="0" borderId="14" xfId="0" applyNumberFormat="1" applyBorder="1" applyProtection="1"/>
    <xf numFmtId="170" fontId="0" fillId="0" borderId="0" xfId="0" applyNumberFormat="1" applyProtection="1"/>
    <xf numFmtId="174" fontId="0" fillId="0" borderId="15" xfId="0" applyNumberFormat="1" applyBorder="1" applyProtection="1"/>
    <xf numFmtId="0" fontId="2" fillId="3" borderId="13" xfId="0" applyFont="1" applyFill="1" applyBorder="1" applyProtection="1"/>
    <xf numFmtId="1" fontId="2" fillId="3" borderId="1" xfId="0" applyNumberFormat="1" applyFont="1" applyFill="1" applyBorder="1" applyProtection="1"/>
    <xf numFmtId="0" fontId="0" fillId="3" borderId="8" xfId="0" applyFill="1" applyBorder="1" applyProtection="1"/>
    <xf numFmtId="0" fontId="0" fillId="3" borderId="9" xfId="0" applyFill="1" applyBorder="1" applyProtection="1"/>
    <xf numFmtId="0" fontId="0" fillId="3" borderId="10" xfId="0" applyFill="1" applyBorder="1" applyAlignment="1" applyProtection="1">
      <alignment horizontal="left" vertical="top"/>
    </xf>
    <xf numFmtId="0" fontId="0" fillId="3" borderId="0" xfId="0" applyFill="1" applyProtection="1"/>
    <xf numFmtId="173" fontId="0" fillId="0" borderId="11" xfId="0" applyNumberFormat="1" applyBorder="1" applyProtection="1"/>
    <xf numFmtId="173" fontId="0" fillId="0" borderId="13" xfId="0" applyNumberFormat="1" applyBorder="1" applyProtection="1"/>
    <xf numFmtId="172" fontId="0" fillId="0" borderId="4" xfId="0" applyNumberFormat="1" applyBorder="1" applyProtection="1"/>
    <xf numFmtId="173" fontId="0" fillId="0" borderId="7" xfId="0" applyNumberFormat="1" applyBorder="1" applyProtection="1"/>
    <xf numFmtId="0" fontId="2" fillId="3" borderId="8" xfId="0" applyFont="1" applyFill="1" applyBorder="1" applyProtection="1"/>
    <xf numFmtId="172" fontId="2" fillId="3" borderId="15" xfId="0" applyNumberFormat="1" applyFont="1" applyFill="1" applyBorder="1" applyProtection="1"/>
    <xf numFmtId="164" fontId="0" fillId="3" borderId="15" xfId="0" applyNumberFormat="1" applyFill="1" applyBorder="1" applyProtection="1"/>
    <xf numFmtId="173" fontId="0" fillId="3" borderId="13" xfId="0" applyNumberFormat="1" applyFill="1" applyBorder="1" applyProtection="1"/>
    <xf numFmtId="10" fontId="0" fillId="3" borderId="7" xfId="0" applyNumberFormat="1" applyFill="1" applyBorder="1" applyProtection="1"/>
    <xf numFmtId="0" fontId="0" fillId="0" borderId="8" xfId="0" applyBorder="1" applyProtection="1"/>
    <xf numFmtId="172" fontId="0" fillId="0" borderId="9" xfId="0" applyNumberFormat="1" applyBorder="1" applyProtection="1"/>
    <xf numFmtId="175" fontId="0" fillId="0" borderId="9" xfId="0" applyNumberFormat="1" applyBorder="1" applyProtection="1"/>
    <xf numFmtId="0" fontId="2" fillId="9" borderId="18" xfId="0" applyFont="1" applyFill="1" applyBorder="1" applyProtection="1"/>
  </cellXfs>
  <cellStyles count="4">
    <cellStyle name="Normal" xfId="0" builtinId="0"/>
    <cellStyle name="Procent" xfId="3" builtinId="5"/>
    <cellStyle name="Tusental" xfId="1" builtinId="3"/>
    <cellStyle name="Valuta" xfId="2" builtinId="4"/>
  </cellStyles>
  <dxfs count="3">
    <dxf>
      <fill>
        <patternFill>
          <bgColor rgb="FFF7FDF5"/>
        </patternFill>
      </fill>
    </dxf>
    <dxf>
      <fill>
        <patternFill>
          <bgColor rgb="FFF7FDF5"/>
        </patternFill>
      </fill>
    </dxf>
    <dxf>
      <fill>
        <patternFill>
          <bgColor rgb="FFF7FDF5"/>
        </patternFill>
      </fill>
    </dxf>
  </dxfs>
  <tableStyles count="0" defaultTableStyle="TableStyleMedium2" defaultPivotStyle="PivotStyleLight16"/>
  <colors>
    <mruColors>
      <color rgb="FFF7FDF5"/>
      <color rgb="FFF2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7541E-7979-4B87-BA9F-6B79C21E2F4E}">
  <sheetPr codeName="Blad1"/>
  <dimension ref="A1:P69"/>
  <sheetViews>
    <sheetView tabSelected="1" zoomScale="115" zoomScaleNormal="115" workbookViewId="0">
      <selection activeCell="E3" sqref="E3:F3"/>
    </sheetView>
  </sheetViews>
  <sheetFormatPr defaultColWidth="9.109375" defaultRowHeight="14.4" x14ac:dyDescent="0.3"/>
  <cols>
    <col min="1" max="1" width="13.5546875" style="94" customWidth="1"/>
    <col min="2" max="2" width="30.109375" style="94" customWidth="1"/>
    <col min="3" max="3" width="18.88671875" style="94" customWidth="1"/>
    <col min="4" max="4" width="18" style="94" customWidth="1"/>
    <col min="5" max="5" width="19.109375" style="94" customWidth="1"/>
    <col min="6" max="6" width="13.44140625" style="94" customWidth="1"/>
    <col min="7" max="7" width="4.88671875" style="94" customWidth="1"/>
    <col min="8" max="8" width="37.109375" style="94" customWidth="1"/>
    <col min="9" max="9" width="10.5546875" style="94" bestFit="1" customWidth="1"/>
    <col min="10" max="10" width="11.109375" style="94" customWidth="1"/>
    <col min="11" max="11" width="13.6640625" style="94" customWidth="1"/>
    <col min="12" max="12" width="71.88671875" style="94" bestFit="1" customWidth="1"/>
    <col min="13" max="13" width="14.33203125" style="94" bestFit="1" customWidth="1"/>
    <col min="14" max="14" width="17.5546875" style="94" customWidth="1"/>
    <col min="15" max="15" width="20.88671875" style="94" bestFit="1" customWidth="1"/>
    <col min="16" max="16" width="15.88671875" style="94" bestFit="1" customWidth="1"/>
    <col min="17" max="17" width="20.88671875" style="94" customWidth="1"/>
    <col min="18" max="18" width="29.33203125" style="94" bestFit="1" customWidth="1"/>
    <col min="19" max="19" width="17" style="94" bestFit="1" customWidth="1"/>
    <col min="20" max="20" width="29.33203125" style="94" bestFit="1" customWidth="1"/>
    <col min="21" max="21" width="26.109375" style="94" bestFit="1" customWidth="1"/>
    <col min="22" max="22" width="14.6640625" style="94" bestFit="1" customWidth="1"/>
    <col min="23" max="23" width="26.109375" style="94" bestFit="1" customWidth="1"/>
    <col min="24" max="24" width="17.33203125" style="94" bestFit="1" customWidth="1"/>
    <col min="25" max="25" width="22" style="94" bestFit="1" customWidth="1"/>
    <col min="26" max="26" width="16.33203125" style="94" bestFit="1" customWidth="1"/>
    <col min="27" max="32" width="9.109375" style="94"/>
    <col min="33" max="33" width="71.88671875" style="94" bestFit="1" customWidth="1"/>
    <col min="34" max="34" width="14.33203125" style="94" bestFit="1" customWidth="1"/>
    <col min="35" max="36" width="20.88671875" style="94" bestFit="1" customWidth="1"/>
    <col min="37" max="37" width="13.6640625" style="94" bestFit="1" customWidth="1"/>
    <col min="38" max="16384" width="9.109375" style="94"/>
  </cols>
  <sheetData>
    <row r="1" spans="1:16" ht="23.4" x14ac:dyDescent="0.45">
      <c r="A1" s="94" t="e" vm="1">
        <v>#VALUE!</v>
      </c>
      <c r="B1" s="95" t="s">
        <v>97</v>
      </c>
    </row>
    <row r="2" spans="1:16" ht="20.25" customHeight="1" thickBot="1" x14ac:dyDescent="0.35">
      <c r="A2" s="96" t="s">
        <v>98</v>
      </c>
    </row>
    <row r="3" spans="1:16" ht="15" thickBot="1" x14ac:dyDescent="0.35">
      <c r="A3" s="97" t="s">
        <v>42</v>
      </c>
      <c r="B3" s="98">
        <v>46251</v>
      </c>
      <c r="D3" s="99" t="s">
        <v>87</v>
      </c>
      <c r="E3" s="82" t="s">
        <v>92</v>
      </c>
      <c r="F3" s="83"/>
      <c r="N3" s="100"/>
    </row>
    <row r="4" spans="1:16" ht="15" thickBot="1" x14ac:dyDescent="0.35">
      <c r="A4" s="97" t="s">
        <v>43</v>
      </c>
      <c r="B4" s="101" t="s">
        <v>111</v>
      </c>
      <c r="D4" s="99" t="s">
        <v>86</v>
      </c>
      <c r="E4" s="84" t="s">
        <v>91</v>
      </c>
      <c r="F4" s="85"/>
      <c r="M4" s="102">
        <v>2026</v>
      </c>
    </row>
    <row r="5" spans="1:16" ht="15" thickBot="1" x14ac:dyDescent="0.35">
      <c r="A5" s="97" t="s">
        <v>44</v>
      </c>
      <c r="B5" s="103" t="s">
        <v>89</v>
      </c>
      <c r="C5" s="104"/>
      <c r="D5" s="105" t="s">
        <v>108</v>
      </c>
      <c r="E5" s="106" t="s">
        <v>109</v>
      </c>
      <c r="F5" s="107"/>
      <c r="L5" s="108" t="s">
        <v>100</v>
      </c>
      <c r="M5" s="66">
        <v>83400</v>
      </c>
    </row>
    <row r="6" spans="1:16" ht="15.75" customHeight="1" thickBot="1" x14ac:dyDescent="0.35">
      <c r="A6" s="97" t="s">
        <v>73</v>
      </c>
      <c r="B6" s="101" t="s">
        <v>112</v>
      </c>
      <c r="D6" s="109" t="s">
        <v>93</v>
      </c>
      <c r="E6" s="110"/>
      <c r="F6" s="111"/>
      <c r="L6" s="108" t="s">
        <v>101</v>
      </c>
      <c r="M6" s="67">
        <v>59200</v>
      </c>
    </row>
    <row r="7" spans="1:16" ht="15.75" customHeight="1" thickBot="1" x14ac:dyDescent="0.35">
      <c r="A7" s="97" t="s">
        <v>72</v>
      </c>
      <c r="B7" s="101" t="s">
        <v>90</v>
      </c>
      <c r="D7" s="112"/>
    </row>
    <row r="8" spans="1:16" ht="15.75" customHeight="1" thickBot="1" x14ac:dyDescent="0.35">
      <c r="B8" s="99"/>
      <c r="D8" s="112"/>
      <c r="L8" s="113" t="s">
        <v>4</v>
      </c>
      <c r="M8" s="114" t="s">
        <v>12</v>
      </c>
      <c r="N8" s="113" t="s">
        <v>68</v>
      </c>
    </row>
    <row r="9" spans="1:16" ht="15.75" customHeight="1" x14ac:dyDescent="0.3">
      <c r="A9" s="115"/>
      <c r="B9" s="116" t="s">
        <v>77</v>
      </c>
      <c r="C9" s="117"/>
      <c r="D9" s="117"/>
      <c r="E9" s="73" t="s">
        <v>102</v>
      </c>
      <c r="F9" s="79">
        <f>+E24</f>
        <v>590.59641764311425</v>
      </c>
      <c r="H9" s="118" t="s">
        <v>77</v>
      </c>
      <c r="L9" s="13" t="s">
        <v>5</v>
      </c>
      <c r="M9" s="14">
        <f>+N9/12</f>
        <v>52125</v>
      </c>
      <c r="N9" s="15">
        <f>M5*7.5</f>
        <v>625500</v>
      </c>
    </row>
    <row r="10" spans="1:16" ht="19.5" customHeight="1" thickBot="1" x14ac:dyDescent="0.35">
      <c r="A10" s="119"/>
      <c r="B10" s="120"/>
      <c r="C10" s="121"/>
      <c r="D10" s="121"/>
      <c r="E10" s="74"/>
      <c r="F10" s="80"/>
      <c r="H10" s="122"/>
      <c r="L10" s="123" t="s">
        <v>51</v>
      </c>
      <c r="M10" s="16">
        <f>+N10/12</f>
        <v>49333.333333333336</v>
      </c>
      <c r="N10" s="124">
        <f>M19*12</f>
        <v>592000</v>
      </c>
    </row>
    <row r="11" spans="1:16" ht="43.8" thickBot="1" x14ac:dyDescent="0.35">
      <c r="A11" s="125" t="s">
        <v>99</v>
      </c>
      <c r="B11" s="126" t="s">
        <v>71</v>
      </c>
      <c r="C11" s="127" t="s">
        <v>2</v>
      </c>
      <c r="D11" s="127" t="s">
        <v>26</v>
      </c>
      <c r="E11" s="127" t="s">
        <v>30</v>
      </c>
      <c r="F11" s="128" t="s">
        <v>107</v>
      </c>
      <c r="H11" s="129" t="s">
        <v>74</v>
      </c>
      <c r="I11" s="130" t="s">
        <v>3</v>
      </c>
      <c r="J11" s="130" t="s">
        <v>41</v>
      </c>
      <c r="L11" s="17" t="s">
        <v>6</v>
      </c>
      <c r="M11" s="16">
        <f>+N11/12</f>
        <v>52125</v>
      </c>
      <c r="N11" s="18">
        <f>M5*7.5</f>
        <v>625500</v>
      </c>
    </row>
    <row r="12" spans="1:16" ht="15.75" customHeight="1" thickBot="1" x14ac:dyDescent="0.35">
      <c r="A12" s="131" t="s">
        <v>48</v>
      </c>
      <c r="B12" s="132" t="s">
        <v>0</v>
      </c>
      <c r="C12" s="86">
        <v>55000</v>
      </c>
      <c r="D12" s="12">
        <f t="shared" ref="D12:D13" si="0">+C12*12</f>
        <v>660000</v>
      </c>
      <c r="E12" s="19">
        <f t="shared" ref="E12:E17" si="1">SUMIFS(C12,A12,"Ja")/$I$22</f>
        <v>406.50406504065046</v>
      </c>
      <c r="F12" s="20">
        <v>1</v>
      </c>
      <c r="H12" s="133" t="s">
        <v>20</v>
      </c>
      <c r="I12" s="21">
        <v>261</v>
      </c>
      <c r="J12" s="22">
        <f>+I12/$I$12</f>
        <v>1</v>
      </c>
      <c r="L12" s="134" t="s">
        <v>7</v>
      </c>
      <c r="M12" s="23">
        <f>+N12/12</f>
        <v>49333.333333333336</v>
      </c>
      <c r="N12" s="24">
        <f>12*M19</f>
        <v>592000</v>
      </c>
    </row>
    <row r="13" spans="1:16" ht="15" thickBot="1" x14ac:dyDescent="0.35">
      <c r="A13" s="135" t="s">
        <v>48</v>
      </c>
      <c r="B13" s="132" t="s">
        <v>1</v>
      </c>
      <c r="C13" s="25">
        <f>(C12*F13)*I14/12</f>
        <v>1026.6666666666667</v>
      </c>
      <c r="D13" s="12">
        <f t="shared" si="0"/>
        <v>12320</v>
      </c>
      <c r="E13" s="19">
        <f t="shared" si="1"/>
        <v>7.5880758807588089</v>
      </c>
      <c r="F13" s="26">
        <f>+J13</f>
        <v>8.0000000000000002E-3</v>
      </c>
      <c r="H13" s="136" t="s">
        <v>1</v>
      </c>
      <c r="J13" s="27">
        <v>8.0000000000000002E-3</v>
      </c>
      <c r="O13" s="137" t="s">
        <v>50</v>
      </c>
      <c r="P13" s="138"/>
    </row>
    <row r="14" spans="1:16" ht="15" thickBot="1" x14ac:dyDescent="0.35">
      <c r="A14" s="135" t="s">
        <v>48</v>
      </c>
      <c r="B14" s="132" t="s">
        <v>10</v>
      </c>
      <c r="C14" s="25">
        <f>SUM(C12:C13)*C28</f>
        <v>17603.578666666665</v>
      </c>
      <c r="D14" s="12">
        <f t="shared" ref="D14:D17" si="2">+C14*12</f>
        <v>211242.94399999996</v>
      </c>
      <c r="E14" s="19">
        <f t="shared" si="1"/>
        <v>130.10775067750677</v>
      </c>
      <c r="F14" s="28">
        <f>+C28</f>
        <v>0.31419999999999998</v>
      </c>
      <c r="H14" s="136" t="s">
        <v>94</v>
      </c>
      <c r="I14" s="87">
        <v>28</v>
      </c>
      <c r="J14" s="26">
        <f>+I14/$I$12</f>
        <v>0.10727969348659004</v>
      </c>
      <c r="O14" s="139">
        <f>(C12*12.2)/12</f>
        <v>55916.666666666664</v>
      </c>
      <c r="P14" s="139">
        <f>O14*12</f>
        <v>671000</v>
      </c>
    </row>
    <row r="15" spans="1:16" ht="15" thickBot="1" x14ac:dyDescent="0.35">
      <c r="A15" s="135" t="s">
        <v>48</v>
      </c>
      <c r="B15" s="132" t="s">
        <v>22</v>
      </c>
      <c r="C15" s="25">
        <f>IF(C17=0,IF(SUM(C12:C13)&lt;=M16,SUM(C12:C13)*N16,M16*N16)+IF(SUM(C12:C13)&lt;=M18,SUM(C12:C13)*N18,M18*N18)+IF(SUM(C12:C13)&lt;=M20,SUM(C12:C13)*N20,M20*N20),0)</f>
        <v>2425.5812500000002</v>
      </c>
      <c r="D15" s="12">
        <f t="shared" si="2"/>
        <v>29106.975000000002</v>
      </c>
      <c r="E15" s="19">
        <f t="shared" si="1"/>
        <v>17.927429785661495</v>
      </c>
      <c r="F15" s="28">
        <f>+N16+N18+N20+N22</f>
        <v>4.6550000000000001E-2</v>
      </c>
      <c r="H15" s="140" t="s">
        <v>47</v>
      </c>
      <c r="I15" s="70">
        <v>6</v>
      </c>
      <c r="J15" s="69">
        <f>+I15/$I$12</f>
        <v>2.2988505747126436E-2</v>
      </c>
      <c r="L15" s="141" t="s">
        <v>11</v>
      </c>
      <c r="M15" s="142" t="s">
        <v>12</v>
      </c>
      <c r="N15" s="141" t="s">
        <v>13</v>
      </c>
      <c r="O15" s="113" t="s">
        <v>14</v>
      </c>
      <c r="P15" s="139" t="s">
        <v>15</v>
      </c>
    </row>
    <row r="16" spans="1:16" ht="15" thickBot="1" x14ac:dyDescent="0.35">
      <c r="A16" s="135" t="s">
        <v>48</v>
      </c>
      <c r="B16" s="132" t="s">
        <v>23</v>
      </c>
      <c r="C16" s="143">
        <f>MAX(0,IF(C17,0,(SUM(C12:C13)-M17)*N17+(SUM(C12:C13)-M19)*N19+(SUM(C12:C13)-M21)*N21))</f>
        <v>1232.9373833333327</v>
      </c>
      <c r="D16" s="12">
        <f t="shared" si="2"/>
        <v>14795.248599999992</v>
      </c>
      <c r="E16" s="19">
        <f t="shared" si="1"/>
        <v>9.1126192411924087</v>
      </c>
      <c r="F16" s="28">
        <f>+N17+N19+N21+N23</f>
        <v>0.31523000000000001</v>
      </c>
      <c r="H16" s="140" t="s">
        <v>52</v>
      </c>
      <c r="I16" s="71">
        <v>11</v>
      </c>
      <c r="J16" s="40">
        <f>+I16/$I$12</f>
        <v>4.2145593869731802E-2</v>
      </c>
      <c r="L16" s="140" t="s">
        <v>57</v>
      </c>
      <c r="M16" s="29">
        <f>M5*7.5/12</f>
        <v>52125</v>
      </c>
      <c r="N16" s="30">
        <v>4.4999999999999998E-2</v>
      </c>
      <c r="O16" s="31" t="s">
        <v>16</v>
      </c>
      <c r="P16" s="32"/>
    </row>
    <row r="17" spans="1:16" ht="18" customHeight="1" thickBot="1" x14ac:dyDescent="0.35">
      <c r="A17" s="144" t="s">
        <v>48</v>
      </c>
      <c r="B17" s="76" t="s">
        <v>69</v>
      </c>
      <c r="C17" s="88">
        <v>0</v>
      </c>
      <c r="D17" s="78">
        <f t="shared" si="2"/>
        <v>0</v>
      </c>
      <c r="E17" s="81">
        <f t="shared" si="1"/>
        <v>0</v>
      </c>
      <c r="F17" s="75">
        <f>+C17/C12</f>
        <v>0</v>
      </c>
      <c r="H17" s="136" t="s">
        <v>53</v>
      </c>
      <c r="I17" s="33">
        <f>+J17*I12</f>
        <v>7.83</v>
      </c>
      <c r="J17" s="34">
        <v>0.03</v>
      </c>
      <c r="L17" s="140" t="s">
        <v>58</v>
      </c>
      <c r="M17" s="35">
        <f>M5*7.5/12</f>
        <v>52125</v>
      </c>
      <c r="N17" s="3">
        <v>0.3</v>
      </c>
      <c r="O17" s="36" t="s">
        <v>16</v>
      </c>
      <c r="P17" s="37"/>
    </row>
    <row r="18" spans="1:16" ht="15" thickBot="1" x14ac:dyDescent="0.35">
      <c r="A18" s="144"/>
      <c r="B18" s="77"/>
      <c r="C18" s="89"/>
      <c r="D18" s="78"/>
      <c r="E18" s="81"/>
      <c r="F18" s="75"/>
      <c r="H18" s="145" t="s">
        <v>54</v>
      </c>
      <c r="I18" s="33">
        <f>+I12*$J$18</f>
        <v>5.22</v>
      </c>
      <c r="J18" s="34">
        <v>0.02</v>
      </c>
      <c r="L18" s="140" t="s">
        <v>59</v>
      </c>
      <c r="M18" s="35">
        <f>M6*10/12</f>
        <v>49333.333333333336</v>
      </c>
      <c r="N18" s="4">
        <v>2.9999999999999997E-4</v>
      </c>
      <c r="O18" s="38">
        <v>2.9999999999999997E-4</v>
      </c>
      <c r="P18" s="37">
        <f>M18*12</f>
        <v>592000</v>
      </c>
    </row>
    <row r="19" spans="1:16" x14ac:dyDescent="0.3">
      <c r="A19" s="135" t="s">
        <v>48</v>
      </c>
      <c r="B19" s="146" t="s">
        <v>45</v>
      </c>
      <c r="C19" s="25">
        <f>+M26</f>
        <v>0</v>
      </c>
      <c r="D19" s="12">
        <f>+C19*12</f>
        <v>0</v>
      </c>
      <c r="E19" s="19">
        <f>SUMIFS(C19,A19,"Ja")/$I$22</f>
        <v>0</v>
      </c>
      <c r="F19" s="20">
        <f>+C19/C12</f>
        <v>0</v>
      </c>
      <c r="H19" s="132" t="s">
        <v>70</v>
      </c>
      <c r="I19" s="147">
        <f>SUM(I14:I18)</f>
        <v>58.05</v>
      </c>
      <c r="J19" s="39">
        <f>+I19/$I$12</f>
        <v>0.22241379310344828</v>
      </c>
      <c r="L19" s="140" t="s">
        <v>60</v>
      </c>
      <c r="M19" s="35">
        <f>M6*10/12</f>
        <v>49333.333333333336</v>
      </c>
      <c r="N19" s="4">
        <v>1.08E-3</v>
      </c>
      <c r="O19" s="38">
        <v>1.008E-3</v>
      </c>
      <c r="P19" s="37">
        <f t="shared" ref="P19:P23" si="3">M19*12</f>
        <v>592000</v>
      </c>
    </row>
    <row r="20" spans="1:16" ht="15" thickBot="1" x14ac:dyDescent="0.35">
      <c r="A20" s="135" t="s">
        <v>48</v>
      </c>
      <c r="B20" s="132" t="s">
        <v>46</v>
      </c>
      <c r="C20" s="25">
        <f>+M25+M24</f>
        <v>1120.5333333333333</v>
      </c>
      <c r="D20" s="12">
        <f>+C20*12</f>
        <v>13446.4</v>
      </c>
      <c r="E20" s="19">
        <f>SUMIFS(C20,A20,"Ja")/$I$22</f>
        <v>8.2818428184281849</v>
      </c>
      <c r="F20" s="20">
        <f>+C20/C12</f>
        <v>2.0373333333333334E-2</v>
      </c>
      <c r="H20" s="132" t="s">
        <v>21</v>
      </c>
      <c r="I20" s="148">
        <f>+I12-I19</f>
        <v>202.95</v>
      </c>
      <c r="J20" s="40">
        <f>+I20/$I$12</f>
        <v>0.77758620689655167</v>
      </c>
      <c r="L20" s="140" t="s">
        <v>61</v>
      </c>
      <c r="M20" s="35">
        <f>M5*7.5/12</f>
        <v>52125</v>
      </c>
      <c r="N20" s="4">
        <v>1.25E-3</v>
      </c>
      <c r="O20" s="38">
        <v>1.4499999999999999E-3</v>
      </c>
      <c r="P20" s="37">
        <f>M20*12</f>
        <v>625500</v>
      </c>
    </row>
    <row r="21" spans="1:16" ht="15" thickBot="1" x14ac:dyDescent="0.35">
      <c r="A21" s="135" t="s">
        <v>48</v>
      </c>
      <c r="B21" s="132" t="s">
        <v>24</v>
      </c>
      <c r="C21" s="25" cm="1">
        <f t="array" ref="C21">SUM(C15:C20*C27)</f>
        <v>1159.3980071133333</v>
      </c>
      <c r="D21" s="12">
        <f>+C21*12</f>
        <v>13912.776085359999</v>
      </c>
      <c r="E21" s="19">
        <f>SUMIFS(C21,A21,"Ja")/$I$22</f>
        <v>8.5690909616654363</v>
      </c>
      <c r="F21" s="28">
        <f>+C27</f>
        <v>0.24260000000000001</v>
      </c>
      <c r="H21" s="149" t="s">
        <v>56</v>
      </c>
      <c r="I21" s="150">
        <f>+I20/12</f>
        <v>16.912499999999998</v>
      </c>
      <c r="L21" s="140" t="s">
        <v>62</v>
      </c>
      <c r="M21" s="35">
        <f>M5*7.5/12</f>
        <v>52125</v>
      </c>
      <c r="N21" s="4">
        <v>1.4149999999999999E-2</v>
      </c>
      <c r="O21" s="38">
        <v>1.2500000000000001E-2</v>
      </c>
      <c r="P21" s="37">
        <f t="shared" si="3"/>
        <v>625500</v>
      </c>
    </row>
    <row r="22" spans="1:16" ht="15" thickBot="1" x14ac:dyDescent="0.35">
      <c r="A22" s="135" t="s">
        <v>48</v>
      </c>
      <c r="B22" s="132" t="s">
        <v>66</v>
      </c>
      <c r="C22" s="25">
        <f>+M27</f>
        <v>319</v>
      </c>
      <c r="D22" s="12">
        <f>+C22*12</f>
        <v>3828</v>
      </c>
      <c r="E22" s="19">
        <f>SUMIFS(C22,A22,"Ja")/$I$22</f>
        <v>2.3577235772357725</v>
      </c>
      <c r="F22" s="28">
        <f>+N27</f>
        <v>5.7999999999999996E-3</v>
      </c>
      <c r="H22" s="151" t="s">
        <v>55</v>
      </c>
      <c r="I22" s="152">
        <f>+I21*8</f>
        <v>135.29999999999998</v>
      </c>
      <c r="L22" s="140" t="s">
        <v>63</v>
      </c>
      <c r="M22" s="35">
        <f>M5*7.5/12</f>
        <v>52125</v>
      </c>
      <c r="N22" s="41"/>
      <c r="O22" s="42">
        <v>5.4999999999999997E-3</v>
      </c>
      <c r="P22" s="37">
        <f t="shared" si="3"/>
        <v>625500</v>
      </c>
    </row>
    <row r="23" spans="1:16" ht="15" thickBot="1" x14ac:dyDescent="0.35">
      <c r="A23" s="153" t="s">
        <v>48</v>
      </c>
      <c r="B23" s="149" t="s">
        <v>67</v>
      </c>
      <c r="C23" s="154">
        <f>+M28</f>
        <v>20</v>
      </c>
      <c r="D23" s="43">
        <f>+C23*12</f>
        <v>240</v>
      </c>
      <c r="E23" s="44">
        <f>SUMIFS(C23,A23,"Ja")/$I$22</f>
        <v>0.14781966001478197</v>
      </c>
      <c r="F23" s="28">
        <f>+C23/C12</f>
        <v>3.6363636363636361E-4</v>
      </c>
      <c r="H23" s="100"/>
      <c r="I23" s="100"/>
      <c r="J23" s="100"/>
      <c r="L23" s="140" t="s">
        <v>64</v>
      </c>
      <c r="M23" s="35">
        <f>M5*7.5/12</f>
        <v>52125</v>
      </c>
      <c r="N23" s="41"/>
      <c r="O23" s="42">
        <v>5.4999999999999997E-3</v>
      </c>
      <c r="P23" s="45">
        <f t="shared" si="3"/>
        <v>625500</v>
      </c>
    </row>
    <row r="24" spans="1:16" ht="15" thickBot="1" x14ac:dyDescent="0.35">
      <c r="A24" s="155"/>
      <c r="B24" s="156" t="s">
        <v>25</v>
      </c>
      <c r="C24" s="46">
        <f>SUM(C12:C23)</f>
        <v>79907.695307113332</v>
      </c>
      <c r="D24" s="46">
        <f>SUM(D12:D23)</f>
        <v>958892.34368535981</v>
      </c>
      <c r="E24" s="68">
        <f>SUM(E12:E23)</f>
        <v>590.59641764311425</v>
      </c>
      <c r="F24" s="155"/>
      <c r="J24" s="47"/>
      <c r="K24" s="157"/>
      <c r="L24" s="158" t="s">
        <v>17</v>
      </c>
      <c r="M24" s="29">
        <f>IF(C17&lt;&gt;0,0,MAX(0,$N$24*(SUM(C12:C13))))</f>
        <v>1120.5333333333333</v>
      </c>
      <c r="N24" s="48">
        <v>0.02</v>
      </c>
      <c r="O24" s="48">
        <v>0.02</v>
      </c>
      <c r="P24" s="4"/>
    </row>
    <row r="25" spans="1:16" ht="15" thickBot="1" x14ac:dyDescent="0.35">
      <c r="J25" s="47"/>
      <c r="K25" s="157"/>
      <c r="L25" s="140" t="s">
        <v>18</v>
      </c>
      <c r="M25" s="49">
        <f>IF(M24=0,N25*O14,0)</f>
        <v>0</v>
      </c>
      <c r="N25" s="50">
        <v>0.02</v>
      </c>
      <c r="O25" s="50">
        <v>0.02</v>
      </c>
      <c r="P25" s="4"/>
    </row>
    <row r="26" spans="1:16" ht="15" thickBot="1" x14ac:dyDescent="0.35">
      <c r="B26" s="113" t="s">
        <v>8</v>
      </c>
      <c r="J26" s="47"/>
      <c r="K26" s="157"/>
      <c r="L26" s="140" t="s">
        <v>19</v>
      </c>
      <c r="M26" s="159">
        <f>IF(M24=0,(MAX(0,N26*(O14)-C15)),0)</f>
        <v>0</v>
      </c>
      <c r="N26" s="51">
        <v>0.02</v>
      </c>
      <c r="O26" s="51">
        <v>0.02</v>
      </c>
      <c r="P26" s="41"/>
    </row>
    <row r="27" spans="1:16" ht="15" thickBot="1" x14ac:dyDescent="0.35">
      <c r="B27" s="52" t="s">
        <v>9</v>
      </c>
      <c r="C27" s="53">
        <v>0.24260000000000001</v>
      </c>
      <c r="L27" s="160" t="s">
        <v>65</v>
      </c>
      <c r="M27" s="161">
        <f>N27*$C$12</f>
        <v>319</v>
      </c>
      <c r="N27" s="54">
        <v>5.7999999999999996E-3</v>
      </c>
      <c r="O27" s="162"/>
      <c r="P27" s="162"/>
    </row>
    <row r="28" spans="1:16" ht="15" thickBot="1" x14ac:dyDescent="0.35">
      <c r="B28" s="163" t="s">
        <v>10</v>
      </c>
      <c r="C28" s="55">
        <v>0.31419999999999998</v>
      </c>
      <c r="L28" s="134" t="s">
        <v>67</v>
      </c>
      <c r="M28" s="56">
        <v>20</v>
      </c>
      <c r="N28" s="57"/>
      <c r="O28" s="57"/>
      <c r="P28" s="58"/>
    </row>
    <row r="29" spans="1:16" ht="15" thickBot="1" x14ac:dyDescent="0.35">
      <c r="B29" s="164" t="s">
        <v>8</v>
      </c>
    </row>
    <row r="30" spans="1:16" ht="15" thickBot="1" x14ac:dyDescent="0.35"/>
    <row r="31" spans="1:16" ht="16.5" customHeight="1" x14ac:dyDescent="0.3">
      <c r="A31" s="165"/>
      <c r="B31" s="166" t="s">
        <v>75</v>
      </c>
      <c r="C31" s="167"/>
      <c r="D31" s="167"/>
      <c r="E31" s="73" t="s">
        <v>95</v>
      </c>
      <c r="F31" s="79">
        <f>+E56</f>
        <v>500.40446119826476</v>
      </c>
      <c r="H31" s="168" t="s">
        <v>75</v>
      </c>
    </row>
    <row r="32" spans="1:16" ht="15" thickBot="1" x14ac:dyDescent="0.35">
      <c r="A32" s="169"/>
      <c r="B32" s="170"/>
      <c r="C32" s="171"/>
      <c r="D32" s="171"/>
      <c r="E32" s="74"/>
      <c r="F32" s="80"/>
      <c r="H32" s="172"/>
    </row>
    <row r="33" spans="1:11" x14ac:dyDescent="0.3">
      <c r="A33" s="173" t="s">
        <v>88</v>
      </c>
      <c r="B33" s="174" t="s">
        <v>71</v>
      </c>
      <c r="C33" s="175" t="s">
        <v>2</v>
      </c>
      <c r="D33" s="175" t="s">
        <v>32</v>
      </c>
      <c r="E33" s="175" t="s">
        <v>31</v>
      </c>
      <c r="F33" s="176" t="s">
        <v>106</v>
      </c>
      <c r="H33" s="177" t="s">
        <v>74</v>
      </c>
      <c r="I33" s="178" t="s">
        <v>3</v>
      </c>
      <c r="J33" s="178" t="s">
        <v>76</v>
      </c>
      <c r="K33" s="178"/>
    </row>
    <row r="34" spans="1:11" ht="29.25" customHeight="1" thickBot="1" x14ac:dyDescent="0.35">
      <c r="A34" s="179"/>
      <c r="B34" s="180"/>
      <c r="C34" s="181"/>
      <c r="D34" s="181"/>
      <c r="E34" s="181"/>
      <c r="F34" s="182"/>
      <c r="H34" s="180"/>
      <c r="I34" s="183"/>
      <c r="J34" s="183"/>
      <c r="K34" s="183"/>
    </row>
    <row r="35" spans="1:11" ht="15" customHeight="1" thickBot="1" x14ac:dyDescent="0.35">
      <c r="A35" s="131" t="s">
        <v>48</v>
      </c>
      <c r="B35" s="123" t="s">
        <v>103</v>
      </c>
      <c r="C35" s="8">
        <f>SUMIFS(E35,A35,"Ja")*8*$I$35/12</f>
        <v>48208.44</v>
      </c>
      <c r="D35" s="12">
        <f>+C35*12</f>
        <v>578501.28</v>
      </c>
      <c r="E35" s="90">
        <v>277.06</v>
      </c>
      <c r="F35" s="7">
        <v>1</v>
      </c>
      <c r="G35" s="184"/>
      <c r="H35" s="158" t="s">
        <v>20</v>
      </c>
      <c r="I35" s="59">
        <v>261</v>
      </c>
      <c r="J35" s="22">
        <f>+I35/$I$35</f>
        <v>1</v>
      </c>
      <c r="K35" s="185">
        <f>+'Beräkning TjP och Yarb'!$E$35*I35*8</f>
        <v>578501.28</v>
      </c>
    </row>
    <row r="36" spans="1:11" ht="15" thickBot="1" x14ac:dyDescent="0.35">
      <c r="A36" s="186" t="s">
        <v>49</v>
      </c>
      <c r="B36" s="187" t="s">
        <v>105</v>
      </c>
      <c r="C36" s="188"/>
      <c r="D36" s="189"/>
      <c r="E36" s="91">
        <v>42.06</v>
      </c>
      <c r="F36" s="72">
        <f>IF(A36="Ja",E36/E35,0)</f>
        <v>0</v>
      </c>
      <c r="H36" s="140" t="s">
        <v>96</v>
      </c>
      <c r="I36" s="92">
        <v>25</v>
      </c>
      <c r="J36" s="26">
        <v>0.13</v>
      </c>
      <c r="K36" s="190">
        <f>+K35*J36</f>
        <v>75205.166400000002</v>
      </c>
    </row>
    <row r="37" spans="1:11" ht="15" thickBot="1" x14ac:dyDescent="0.35">
      <c r="A37" s="135" t="s">
        <v>48</v>
      </c>
      <c r="B37" s="123" t="s">
        <v>29</v>
      </c>
      <c r="C37" s="8">
        <f>SUMIFS(E37,A37,"Ja")*I43</f>
        <v>1649.4305333333339</v>
      </c>
      <c r="D37" s="12">
        <f>+C37*12</f>
        <v>19793.166400000006</v>
      </c>
      <c r="E37" s="191">
        <f>('Beräkning TjP och Yarb'!J47*'Beräkning TjP och Yarb'!I36)/12/I43</f>
        <v>11.750312500000003</v>
      </c>
      <c r="F37" s="1">
        <f>+'Beräkning TjP och Yarb'!J36</f>
        <v>0.13</v>
      </c>
      <c r="H37" s="140" t="s">
        <v>47</v>
      </c>
      <c r="I37" s="59">
        <v>5</v>
      </c>
      <c r="J37" s="26">
        <f>+I37/$I$35</f>
        <v>1.9157088122605363E-2</v>
      </c>
      <c r="K37" s="192"/>
    </row>
    <row r="38" spans="1:11" ht="15" customHeight="1" thickBot="1" x14ac:dyDescent="0.35">
      <c r="A38" s="135" t="s">
        <v>48</v>
      </c>
      <c r="B38" s="123" t="s">
        <v>10</v>
      </c>
      <c r="C38" s="193">
        <f>SUM(C35:C37)*F38</f>
        <v>15665.342921573332</v>
      </c>
      <c r="D38" s="12">
        <f>D35*F38</f>
        <v>181765.10217599999</v>
      </c>
      <c r="E38" s="191">
        <f>+C38/'Beräkning TjP och Yarb'!$I$43</f>
        <v>111.59771268218084</v>
      </c>
      <c r="F38" s="3">
        <f>+C28</f>
        <v>0.31419999999999998</v>
      </c>
      <c r="H38" s="140" t="s">
        <v>52</v>
      </c>
      <c r="I38" s="59">
        <v>10</v>
      </c>
      <c r="J38" s="26">
        <f>+I38/$I$35</f>
        <v>3.8314176245210725E-2</v>
      </c>
      <c r="K38" s="192"/>
    </row>
    <row r="39" spans="1:11" ht="15.75" customHeight="1" thickBot="1" x14ac:dyDescent="0.35">
      <c r="A39" s="132"/>
      <c r="B39" s="194" t="s">
        <v>33</v>
      </c>
      <c r="C39" s="195">
        <f>SUM(C35:C38)</f>
        <v>65523.213454906669</v>
      </c>
      <c r="D39" s="196">
        <f>SUM(D35:D38)</f>
        <v>780059.54857600003</v>
      </c>
      <c r="E39" s="197">
        <f>+C39/I43</f>
        <v>466.77821135239361</v>
      </c>
      <c r="F39" s="198">
        <f>SUM(F35:F38)</f>
        <v>1.4441999999999999</v>
      </c>
      <c r="H39" s="140" t="s">
        <v>53</v>
      </c>
      <c r="I39" s="60">
        <f>+J39*I35</f>
        <v>10.44</v>
      </c>
      <c r="J39" s="61">
        <v>0.04</v>
      </c>
      <c r="K39" s="199"/>
    </row>
    <row r="40" spans="1:11" x14ac:dyDescent="0.3">
      <c r="A40" s="135" t="s">
        <v>48</v>
      </c>
      <c r="B40" s="123" t="s">
        <v>34</v>
      </c>
      <c r="C40" s="9">
        <f t="shared" ref="C40:C52" si="4">IF(LOWER(A40)="ja",SUM($C$35:$C$37)*F40,0)</f>
        <v>244.30356561333332</v>
      </c>
      <c r="D40" s="200">
        <f>+C40*12</f>
        <v>2931.6427873599996</v>
      </c>
      <c r="E40" s="191">
        <f>+C40/'Beräkning TjP och Yarb'!$I$43</f>
        <v>1.7403844434840425</v>
      </c>
      <c r="F40" s="3">
        <v>4.8999999999999998E-3</v>
      </c>
      <c r="H40" s="201" t="s">
        <v>70</v>
      </c>
      <c r="I40" s="202">
        <f>+I35-I41</f>
        <v>50.44</v>
      </c>
      <c r="J40" s="22">
        <f>+I40/$I$35</f>
        <v>0.19325670498084291</v>
      </c>
    </row>
    <row r="41" spans="1:11" ht="15.75" customHeight="1" x14ac:dyDescent="0.3">
      <c r="A41" s="135" t="s">
        <v>48</v>
      </c>
      <c r="B41" s="123" t="s">
        <v>35</v>
      </c>
      <c r="C41" s="9">
        <f t="shared" si="4"/>
        <v>0</v>
      </c>
      <c r="D41" s="200">
        <f t="shared" ref="D41:D48" si="5">+C41*12</f>
        <v>0</v>
      </c>
      <c r="E41" s="191">
        <f>+C41/'Beräkning TjP och Yarb'!$I$43</f>
        <v>0</v>
      </c>
      <c r="F41" s="3">
        <v>0</v>
      </c>
      <c r="H41" s="132" t="s">
        <v>21</v>
      </c>
      <c r="I41" s="203">
        <f>+I35-SUM(I36:I39)</f>
        <v>210.56</v>
      </c>
      <c r="J41" s="26">
        <f>+I41/$I$35</f>
        <v>0.80674329501915709</v>
      </c>
    </row>
    <row r="42" spans="1:11" ht="15" thickBot="1" x14ac:dyDescent="0.35">
      <c r="A42" s="135" t="s">
        <v>48</v>
      </c>
      <c r="B42" s="123" t="s">
        <v>78</v>
      </c>
      <c r="C42" s="9">
        <f t="shared" si="4"/>
        <v>0</v>
      </c>
      <c r="D42" s="200">
        <f t="shared" si="5"/>
        <v>0</v>
      </c>
      <c r="E42" s="191">
        <f>+C42/'Beräkning TjP och Yarb'!$I$43</f>
        <v>0</v>
      </c>
      <c r="F42" s="3">
        <v>0</v>
      </c>
      <c r="H42" s="149" t="s">
        <v>56</v>
      </c>
      <c r="I42" s="204">
        <f>+I41/12</f>
        <v>17.546666666666667</v>
      </c>
      <c r="J42" s="149"/>
    </row>
    <row r="43" spans="1:11" ht="15" thickBot="1" x14ac:dyDescent="0.35">
      <c r="A43" s="135" t="s">
        <v>48</v>
      </c>
      <c r="B43" s="123" t="s">
        <v>79</v>
      </c>
      <c r="C43" s="9">
        <f t="shared" si="4"/>
        <v>0</v>
      </c>
      <c r="D43" s="200">
        <f t="shared" si="5"/>
        <v>0</v>
      </c>
      <c r="E43" s="191">
        <f>+C43/'Beräkning TjP och Yarb'!$I$43</f>
        <v>0</v>
      </c>
      <c r="F43" s="3">
        <v>0</v>
      </c>
      <c r="H43" s="205" t="s">
        <v>55</v>
      </c>
      <c r="I43" s="206">
        <f>+I42*8</f>
        <v>140.37333333333333</v>
      </c>
    </row>
    <row r="44" spans="1:11" ht="15" thickBot="1" x14ac:dyDescent="0.35">
      <c r="A44" s="135" t="s">
        <v>48</v>
      </c>
      <c r="B44" s="123" t="s">
        <v>80</v>
      </c>
      <c r="C44" s="10">
        <f t="shared" si="4"/>
        <v>49.857870533333333</v>
      </c>
      <c r="D44" s="200">
        <f t="shared" si="5"/>
        <v>598.29444639999997</v>
      </c>
      <c r="E44" s="191">
        <f>+C44/'Beräkning TjP och Yarb'!$I$43</f>
        <v>0.35518049867021279</v>
      </c>
      <c r="F44" s="3">
        <v>1E-3</v>
      </c>
    </row>
    <row r="45" spans="1:11" ht="15" thickBot="1" x14ac:dyDescent="0.35">
      <c r="A45" s="135" t="s">
        <v>48</v>
      </c>
      <c r="B45" s="123" t="s">
        <v>81</v>
      </c>
      <c r="C45" s="10">
        <f t="shared" si="4"/>
        <v>4.9857870533333335</v>
      </c>
      <c r="D45" s="200">
        <f t="shared" si="5"/>
        <v>59.829444640000006</v>
      </c>
      <c r="E45" s="191">
        <f>+C45/'Beräkning TjP och Yarb'!$I$43</f>
        <v>3.5518049867021277E-2</v>
      </c>
      <c r="F45" s="3">
        <v>1E-4</v>
      </c>
      <c r="H45" s="207" t="s">
        <v>27</v>
      </c>
      <c r="I45" s="208" t="s">
        <v>25</v>
      </c>
      <c r="J45" s="209" t="s">
        <v>28</v>
      </c>
      <c r="K45" s="210"/>
    </row>
    <row r="46" spans="1:11" x14ac:dyDescent="0.3">
      <c r="A46" s="135" t="s">
        <v>48</v>
      </c>
      <c r="B46" s="123" t="s">
        <v>36</v>
      </c>
      <c r="C46" s="10">
        <f t="shared" si="4"/>
        <v>0</v>
      </c>
      <c r="D46" s="200">
        <f t="shared" si="5"/>
        <v>0</v>
      </c>
      <c r="E46" s="191">
        <f>+C46/'Beräkning TjP och Yarb'!$I$43</f>
        <v>0</v>
      </c>
      <c r="F46" s="3">
        <v>0</v>
      </c>
      <c r="H46" s="62" t="s">
        <v>110</v>
      </c>
      <c r="I46" s="63">
        <f>+'Beräkning TjP och Yarb'!E35*8</f>
        <v>2216.48</v>
      </c>
      <c r="J46" s="211">
        <f>+I46-$I$46</f>
        <v>0</v>
      </c>
    </row>
    <row r="47" spans="1:11" ht="15" thickBot="1" x14ac:dyDescent="0.35">
      <c r="A47" s="135" t="s">
        <v>48</v>
      </c>
      <c r="B47" s="123" t="s">
        <v>82</v>
      </c>
      <c r="C47" s="10">
        <f t="shared" si="4"/>
        <v>2193.7463034666666</v>
      </c>
      <c r="D47" s="200">
        <f t="shared" si="5"/>
        <v>26324.955641599998</v>
      </c>
      <c r="E47" s="191">
        <f>+C47/'Beräkning TjP och Yarb'!$I$43</f>
        <v>15.627941941489361</v>
      </c>
      <c r="F47" s="3">
        <v>4.3999999999999997E-2</v>
      </c>
      <c r="H47" s="64" t="s">
        <v>104</v>
      </c>
      <c r="I47" s="65">
        <f>+K36/I36</f>
        <v>3008.2066560000003</v>
      </c>
      <c r="J47" s="212">
        <f>+I47-$I$46</f>
        <v>791.72665600000028</v>
      </c>
    </row>
    <row r="48" spans="1:11" x14ac:dyDescent="0.3">
      <c r="A48" s="135" t="s">
        <v>48</v>
      </c>
      <c r="B48" s="123" t="s">
        <v>83</v>
      </c>
      <c r="C48" s="10">
        <f t="shared" si="4"/>
        <v>349.00509373333335</v>
      </c>
      <c r="D48" s="200">
        <f t="shared" si="5"/>
        <v>4188.0611248000005</v>
      </c>
      <c r="E48" s="191">
        <f>+C48/'Beräkning TjP och Yarb'!$I$43</f>
        <v>2.4862634906914893</v>
      </c>
      <c r="F48" s="2">
        <v>7.0000000000000001E-3</v>
      </c>
    </row>
    <row r="49" spans="1:6" x14ac:dyDescent="0.3">
      <c r="A49" s="135" t="s">
        <v>48</v>
      </c>
      <c r="B49" s="123" t="s">
        <v>84</v>
      </c>
      <c r="C49" s="10">
        <f t="shared" si="4"/>
        <v>24.928935266666667</v>
      </c>
      <c r="D49" s="200">
        <v>277</v>
      </c>
      <c r="E49" s="191">
        <f>+C49/'Beräkning TjP och Yarb'!$I$43</f>
        <v>0.17759024933510639</v>
      </c>
      <c r="F49" s="2">
        <v>5.0000000000000001E-4</v>
      </c>
    </row>
    <row r="50" spans="1:6" x14ac:dyDescent="0.3">
      <c r="A50" s="135" t="s">
        <v>48</v>
      </c>
      <c r="B50" s="123" t="s">
        <v>37</v>
      </c>
      <c r="C50" s="10">
        <f t="shared" si="4"/>
        <v>805.20460911333339</v>
      </c>
      <c r="D50" s="200">
        <f>+C50*12</f>
        <v>9662.4553093600007</v>
      </c>
      <c r="E50" s="191">
        <f>+C50/'Beräkning TjP och Yarb'!$I$43</f>
        <v>5.7361650535239361</v>
      </c>
      <c r="F50" s="3">
        <v>1.6150000000000001E-2</v>
      </c>
    </row>
    <row r="51" spans="1:6" x14ac:dyDescent="0.3">
      <c r="A51" s="135" t="s">
        <v>48</v>
      </c>
      <c r="B51" s="123" t="s">
        <v>38</v>
      </c>
      <c r="C51" s="10">
        <f t="shared" si="4"/>
        <v>84.259801201333346</v>
      </c>
      <c r="D51" s="200">
        <f>+C51*12</f>
        <v>1011.1176144160002</v>
      </c>
      <c r="E51" s="191">
        <f>+C51/'Beräkning TjP och Yarb'!$I$43</f>
        <v>0.60025504275265962</v>
      </c>
      <c r="F51" s="4">
        <v>1.6900000000000001E-3</v>
      </c>
    </row>
    <row r="52" spans="1:6" x14ac:dyDescent="0.3">
      <c r="A52" s="135" t="s">
        <v>48</v>
      </c>
      <c r="B52" s="123" t="s">
        <v>85</v>
      </c>
      <c r="C52" s="10">
        <f t="shared" si="4"/>
        <v>42.379189953333331</v>
      </c>
      <c r="D52" s="200">
        <f>+C52*12</f>
        <v>508.55027943999994</v>
      </c>
      <c r="E52" s="191">
        <f>+C52/'Beräkning TjP och Yarb'!$I$43</f>
        <v>0.30190342386968083</v>
      </c>
      <c r="F52" s="3">
        <v>8.4999999999999995E-4</v>
      </c>
    </row>
    <row r="53" spans="1:6" x14ac:dyDescent="0.3">
      <c r="A53" s="135" t="s">
        <v>48</v>
      </c>
      <c r="B53" s="123" t="s">
        <v>9</v>
      </c>
      <c r="C53" s="213">
        <f>IF(LOWER(A53)="ja",SUM($C$40:$C$52)*F53,0)</f>
        <v>921.55762242975015</v>
      </c>
      <c r="D53" s="200">
        <f>+C53*12</f>
        <v>11058.691469157002</v>
      </c>
      <c r="E53" s="191">
        <f>+C53/'Beräkning TjP och Yarb'!$I$43</f>
        <v>6.5650476521876193</v>
      </c>
      <c r="F53" s="3">
        <f>+C27</f>
        <v>0.24260000000000001</v>
      </c>
    </row>
    <row r="54" spans="1:6" ht="15" thickBot="1" x14ac:dyDescent="0.35">
      <c r="A54" s="135" t="s">
        <v>48</v>
      </c>
      <c r="B54" s="134" t="s">
        <v>39</v>
      </c>
      <c r="C54" s="11">
        <f>+E54*'Beräkning TjP och Yarb'!$N$34</f>
        <v>0</v>
      </c>
      <c r="D54" s="163">
        <f>+C54*12</f>
        <v>0</v>
      </c>
      <c r="E54" s="214">
        <f>F54*E35</f>
        <v>0</v>
      </c>
      <c r="F54" s="5"/>
    </row>
    <row r="55" spans="1:6" ht="15" thickBot="1" x14ac:dyDescent="0.35">
      <c r="A55" s="132"/>
      <c r="B55" s="215" t="s">
        <v>40</v>
      </c>
      <c r="C55" s="216">
        <f>SUM(C40:C54)</f>
        <v>4720.2287783644169</v>
      </c>
      <c r="D55" s="217">
        <f>SUM(D40:D54)</f>
        <v>56620.598117173009</v>
      </c>
      <c r="E55" s="218">
        <f>+C55/'Beräkning TjP och Yarb'!I43</f>
        <v>33.626249845871129</v>
      </c>
      <c r="F55" s="219">
        <f>SUM(F40:F54)</f>
        <v>0.31879000000000002</v>
      </c>
    </row>
    <row r="56" spans="1:6" ht="15" thickBot="1" x14ac:dyDescent="0.35">
      <c r="A56" s="149"/>
      <c r="B56" s="220" t="s">
        <v>33</v>
      </c>
      <c r="C56" s="221">
        <f>+C55+C39</f>
        <v>70243.442233271082</v>
      </c>
      <c r="D56" s="222"/>
      <c r="E56" s="68">
        <f>+E55+E39</f>
        <v>500.40446119826476</v>
      </c>
      <c r="F56" s="6"/>
    </row>
    <row r="58" spans="1:6" x14ac:dyDescent="0.3">
      <c r="B58" s="94" t="s">
        <v>113</v>
      </c>
    </row>
    <row r="59" spans="1:6" x14ac:dyDescent="0.3">
      <c r="B59" s="223" t="s">
        <v>114</v>
      </c>
      <c r="C59" s="223" t="s">
        <v>115</v>
      </c>
      <c r="D59" s="223" t="s">
        <v>117</v>
      </c>
      <c r="E59" s="223" t="s">
        <v>116</v>
      </c>
    </row>
    <row r="60" spans="1:6" x14ac:dyDescent="0.3">
      <c r="A60" s="94">
        <v>1</v>
      </c>
      <c r="B60" s="93"/>
      <c r="C60" s="93"/>
      <c r="D60" s="93"/>
      <c r="E60" s="93"/>
    </row>
    <row r="61" spans="1:6" x14ac:dyDescent="0.3">
      <c r="A61" s="94">
        <v>2</v>
      </c>
      <c r="B61" s="93"/>
      <c r="C61" s="93"/>
      <c r="D61" s="93"/>
      <c r="E61" s="93"/>
    </row>
    <row r="62" spans="1:6" x14ac:dyDescent="0.3">
      <c r="A62" s="94">
        <v>3</v>
      </c>
      <c r="B62" s="93"/>
      <c r="C62" s="93"/>
      <c r="D62" s="93"/>
      <c r="E62" s="93"/>
    </row>
    <row r="63" spans="1:6" x14ac:dyDescent="0.3">
      <c r="A63" s="94">
        <v>4</v>
      </c>
      <c r="B63" s="93"/>
      <c r="C63" s="93"/>
      <c r="D63" s="93"/>
      <c r="E63" s="93"/>
    </row>
    <row r="64" spans="1:6" x14ac:dyDescent="0.3">
      <c r="A64" s="94">
        <v>5</v>
      </c>
      <c r="B64" s="93"/>
      <c r="C64" s="93"/>
      <c r="D64" s="93"/>
      <c r="E64" s="93"/>
    </row>
    <row r="65" spans="1:5" x14ac:dyDescent="0.3">
      <c r="A65" s="94">
        <v>6</v>
      </c>
      <c r="B65" s="93"/>
      <c r="C65" s="93"/>
      <c r="D65" s="93"/>
      <c r="E65" s="93"/>
    </row>
    <row r="66" spans="1:5" x14ac:dyDescent="0.3">
      <c r="A66" s="94">
        <v>7</v>
      </c>
      <c r="B66" s="93"/>
      <c r="C66" s="93"/>
      <c r="D66" s="93"/>
      <c r="E66" s="93"/>
    </row>
    <row r="67" spans="1:5" x14ac:dyDescent="0.3">
      <c r="A67" s="94">
        <v>8</v>
      </c>
      <c r="B67" s="93"/>
      <c r="C67" s="93"/>
      <c r="D67" s="93"/>
      <c r="E67" s="93"/>
    </row>
    <row r="68" spans="1:5" x14ac:dyDescent="0.3">
      <c r="A68" s="94">
        <v>9</v>
      </c>
      <c r="B68" s="93"/>
      <c r="C68" s="93"/>
      <c r="D68" s="93"/>
      <c r="E68" s="93"/>
    </row>
    <row r="69" spans="1:5" x14ac:dyDescent="0.3">
      <c r="A69" s="94">
        <v>10</v>
      </c>
      <c r="B69" s="93"/>
      <c r="C69" s="93"/>
      <c r="D69" s="93"/>
      <c r="E69" s="93"/>
    </row>
  </sheetData>
  <sheetProtection algorithmName="SHA-512" hashValue="cCBvKhZP/w6uv6DdcIn+zBos1WJ+s6D0gBERoqpUG3F0n9O+rVq2sw3Z3ohimB66Tw3AtDAc96JfqbEZt8k0+w==" saltValue="Be/zrMXL6UhFbPzUab7sbg==" spinCount="100000" sheet="1" selectLockedCells="1"/>
  <dataConsolidate/>
  <mergeCells count="33">
    <mergeCell ref="B36:D36"/>
    <mergeCell ref="K33:K34"/>
    <mergeCell ref="H33:H34"/>
    <mergeCell ref="B31:B32"/>
    <mergeCell ref="E3:F3"/>
    <mergeCell ref="E4:F4"/>
    <mergeCell ref="E5:F5"/>
    <mergeCell ref="F9:F10"/>
    <mergeCell ref="H9:H10"/>
    <mergeCell ref="E31:E32"/>
    <mergeCell ref="F31:F32"/>
    <mergeCell ref="D6:F6"/>
    <mergeCell ref="J33:J34"/>
    <mergeCell ref="I33:I34"/>
    <mergeCell ref="E17:E18"/>
    <mergeCell ref="A17:A18"/>
    <mergeCell ref="F17:F18"/>
    <mergeCell ref="B17:B18"/>
    <mergeCell ref="C17:C18"/>
    <mergeCell ref="D17:D18"/>
    <mergeCell ref="A31:A32"/>
    <mergeCell ref="H31:H32"/>
    <mergeCell ref="B33:B34"/>
    <mergeCell ref="C33:C34"/>
    <mergeCell ref="D33:D34"/>
    <mergeCell ref="E33:E34"/>
    <mergeCell ref="F33:F34"/>
    <mergeCell ref="A33:A34"/>
    <mergeCell ref="A9:A10"/>
    <mergeCell ref="B9:B10"/>
    <mergeCell ref="C9:C10"/>
    <mergeCell ref="D9:D10"/>
    <mergeCell ref="E9:E10"/>
  </mergeCells>
  <phoneticPr fontId="5" type="noConversion"/>
  <conditionalFormatting sqref="B36:B37 O36:O37 P38:P40 H48">
    <cfRule type="expression" dxfId="2" priority="2">
      <formula>ROW()=CELL("rad")</formula>
    </cfRule>
  </conditionalFormatting>
  <conditionalFormatting sqref="E56">
    <cfRule type="expression" dxfId="1" priority="1">
      <formula>ROW()=CELL("rad")</formula>
    </cfRule>
  </conditionalFormatting>
  <conditionalFormatting sqref="H35:H38 J35:K38 H39:I39 K39 I40:K42 I43 K44:K53 H46:J47">
    <cfRule type="expression" dxfId="0" priority="3">
      <formula>ROW()=CELL("rad")</formula>
    </cfRule>
  </conditionalFormatting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96D34B-E18E-4E94-A9EB-EA2C98470914}">
          <x14:formula1>
            <xm:f>Blad1!$A$3:$A$4</xm:f>
          </x14:formula1>
          <xm:sqref>A35:A38 A40:A54 A19:A23 A12:A17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EA196-74B0-4E10-92E1-896398A823D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8229-1E52-4944-8EC0-8ACD789DDC62}">
  <dimension ref="A1"/>
  <sheetViews>
    <sheetView workbookViewId="0">
      <selection activeCell="D3" sqref="D3:R3"/>
    </sheetView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18219-9103-4930-BFA6-9EF9232A93F6}">
  <dimension ref="A3:A4"/>
  <sheetViews>
    <sheetView workbookViewId="0">
      <selection activeCell="J38" sqref="J38"/>
    </sheetView>
  </sheetViews>
  <sheetFormatPr defaultRowHeight="14.4" x14ac:dyDescent="0.3"/>
  <sheetData>
    <row r="3" spans="1:1" x14ac:dyDescent="0.3">
      <c r="A3" t="s">
        <v>48</v>
      </c>
    </row>
    <row r="4" spans="1:1" x14ac:dyDescent="0.3">
      <c r="A4" t="s">
        <v>49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29eddb2-05c6-4bb7-b2ec-d9702d5ffd49}" enabled="1" method="Standard" siteId="{3c45f3f1-1692-4900-8990-eada1d4c7a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Beräkning TjP och Yarb</vt:lpstr>
      <vt:lpstr>Blad2</vt:lpstr>
      <vt:lpstr>Blad3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URKRAFT Partnering &amp; Ledarskap</dc:creator>
  <cp:lastModifiedBy>Jonny Gustavsson-URKRAFT</cp:lastModifiedBy>
  <dcterms:created xsi:type="dcterms:W3CDTF">2025-11-26T07:52:56Z</dcterms:created>
  <dcterms:modified xsi:type="dcterms:W3CDTF">2026-08-17T11:37:15Z</dcterms:modified>
</cp:coreProperties>
</file>